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files\_spcss\egc\saz\meziresort\"/>
    </mc:Choice>
  </mc:AlternateContent>
  <xr:revisionPtr revIDLastSave="0" documentId="8_{32C8B3F6-C635-4F72-87C0-E0C36A41CF25}" xr6:coauthVersionLast="36" xr6:coauthVersionMax="36" xr10:uidLastSave="{00000000-0000-0000-0000-000000000000}"/>
  <bookViews>
    <workbookView xWindow="0" yWindow="0" windowWidth="28800" windowHeight="12810" tabRatio="767" xr2:uid="{00000000-000D-0000-FFFF-FFFF00000000}"/>
  </bookViews>
  <sheets>
    <sheet name="1.Úvodní parametry" sheetId="1" r:id="rId1"/>
    <sheet name="tabulky" sheetId="8" state="hidden" r:id="rId2"/>
    <sheet name="2. Vstupní data on-premise " sheetId="6" r:id="rId3"/>
    <sheet name="3. Vstupní data cloud" sheetId="5" r:id="rId4"/>
    <sheet name="4. Výsledky porovnání" sheetId="7" r:id="rId5"/>
  </sheets>
  <externalReferences>
    <externalReference r:id="rId6"/>
  </externalReferences>
  <definedNames>
    <definedName name="AnoNe">tabulky!$A$1:$A$2</definedName>
    <definedName name="AntivirPoplatekRokUzivatel">'2. Vstupní data on-premise '!$F$17</definedName>
    <definedName name="AplikacniSWLicence">'2. Vstupní data on-premise '!$F$36</definedName>
    <definedName name="AplikacniSWMaintenance">'2. Vstupní data on-premise '!$F$37</definedName>
    <definedName name="ApliSWCloud">'3. Vstupní data cloud'!$F$43</definedName>
    <definedName name="ApliSWmaintenanceCloud">'3. Vstupní data cloud'!$F$44</definedName>
    <definedName name="BezpecDohled">'2. Vstupní data on-premise '!$F$81</definedName>
    <definedName name="BezpecProjekt">'2. Vstupní data on-premise '!$F$82</definedName>
    <definedName name="CelkemHodinPodpora">'2. Vstupní data on-premise '!$F$115</definedName>
    <definedName name="CelkemHodinProvoz">'2. Vstupní data on-premise '!$F$133</definedName>
    <definedName name="CelkemHodinRizeni">'2. Vstupní data on-premise '!$F$141</definedName>
    <definedName name="CelkemNakladyCloud">'4. Výsledky porovnání'!$J$6</definedName>
    <definedName name="CelkemNakladyOnpremise">'4. Výsledky porovnání'!$J$5</definedName>
    <definedName name="CenaCloudIaaSRok">'3. Vstupní data cloud'!$F$5</definedName>
    <definedName name="CenaCloudLicenceUzivatelRok">'3. Vstupní data cloud'!$F$5</definedName>
    <definedName name="CenaElektriny">'2. Vstupní data on-premise '!$F$102</definedName>
    <definedName name="cenaVlastnihoVyvoje">'2. Vstupní data on-premise '!$F$179</definedName>
    <definedName name="CenaXaaSrok">'3. Vstupní data cloud'!$F$8</definedName>
    <definedName name="DatabazovySW">'2. Vstupní data on-premise '!$F$26</definedName>
    <definedName name="DatabazovySWMaintenance">'2. Vstupní data on-premise '!$F$27</definedName>
    <definedName name="DélkaPro">'[1]1.Úvodní parametry'!$D$6</definedName>
    <definedName name="DelkaProjektu">'1.Úvodní parametry'!$D$8</definedName>
    <definedName name="DélkaProjektu">tabulky!$C$8:$C$12</definedName>
    <definedName name="DiskTab">'2. Vstupní data on-premise '!$F$64</definedName>
    <definedName name="DiskVelikost">'2. Vstupní data on-premise '!$F$63</definedName>
    <definedName name="EthernetPortCena">'2. Vstupní data on-premise '!#REF!</definedName>
    <definedName name="ExterKonzultaceAnalyza">'2. Vstupní data on-premise '!$F$171</definedName>
    <definedName name="ExterniKonektivita">'2. Vstupní data on-premise '!$F$74</definedName>
    <definedName name="ExterniPoradenstviVerejnaZakazka">'2. Vstupní data on-premise '!$F$151</definedName>
    <definedName name="Firewall">'2. Vstupní data on-premise '!$F$77</definedName>
    <definedName name="FirewallMaint">'2. Vstupní data on-premise '!$F$79</definedName>
    <definedName name="FTP">'1.Úvodní parametry'!$D$10</definedName>
    <definedName name="HodinovaSazbaIT">'1.Úvodní parametry'!$E$19</definedName>
    <definedName name="HodinSazbaIT2">'1.Úvodní parametry'!$E$20</definedName>
    <definedName name="HodinSazbaIT3">'1.Úvodní parametry'!$E$21</definedName>
    <definedName name="HWappliance">'2. Vstupní data on-premise '!$F$41</definedName>
    <definedName name="HWuzivateleCloud">'3. Vstupní data cloud'!$F$50</definedName>
    <definedName name="IntegracniSW">'2. Vstupní data on-premise '!$F$30</definedName>
    <definedName name="IntegracniSWMaintenance">'2. Vstupní data on-premise '!$F$31</definedName>
    <definedName name="InterniKonektivita">'2. Vstupní data on-premise '!$F$73</definedName>
    <definedName name="JinyPrvek">'2. Vstupní data on-premise '!$F$78</definedName>
    <definedName name="JinyPrvekMaint">'2. Vstupní data on-premise '!$F$80</definedName>
    <definedName name="JinyPrvekPorizeni">'2. Vstupní data on-premise '!$F$72</definedName>
    <definedName name="KoncovyHWuziv">'2. Vstupní data on-premise '!$F$86</definedName>
    <definedName name="konektivitaCloud">'3. Vstupní data cloud'!$F$47</definedName>
    <definedName name="KurzCZKEUR">'1.Úvodní parametry'!$D$14</definedName>
    <definedName name="KurzCZKUSD">'1.Úvodní parametry'!$D$15</definedName>
    <definedName name="KyberBezpecCelkem">'2. Vstupní data on-premise '!$F$142</definedName>
    <definedName name="KyberBezpecCelkemCloud">'3. Vstupní data cloud'!$F$39</definedName>
    <definedName name="LoadBalancerPorizeni">'2. Vstupní data on-premise '!$F$70</definedName>
    <definedName name="maintenanceApliance">'2. Vstupní data on-premise '!$F$43</definedName>
    <definedName name="MiddleJinySW">'2. Vstupní data on-premise '!$F$32</definedName>
    <definedName name="MiddleJinySWMaintenance">'2. Vstupní data on-premise '!$F$33</definedName>
    <definedName name="MiddlewareMaintenance">'2. Vstupní data on-premise '!#REF!</definedName>
    <definedName name="MiddlewareSW">'2. Vstupní data on-premise '!#REF!</definedName>
    <definedName name="NákladyDPH">tabulky!$A$14:$A$15</definedName>
    <definedName name="NarustDiskUloziste">'2. Vstupní data on-premise '!$F$56</definedName>
    <definedName name="OnExterniPoradenstviVerejnaZakazka">'2. Vstupní data on-premise '!$F$151</definedName>
    <definedName name="OnPremExterniPoradenstviVerejnaZakazka">'2. Vstupní data on-premise '!$F$151</definedName>
    <definedName name="OperacniSystem">'2. Vstupní data on-premise '!$F$6</definedName>
    <definedName name="OSPoplatekRok">'2. Vstupní data on-premise '!$F$7</definedName>
    <definedName name="PocetServeru">'2. Vstupní data on-premise '!$F$48</definedName>
    <definedName name="PocetUzivatelu">'1.Úvodní parametry'!$E$49</definedName>
    <definedName name="PočetLet">tabulky!$C$8:$C$12</definedName>
    <definedName name="pof">'2. Vstupní data on-premise '!$F$115</definedName>
    <definedName name="pr">'2. Vstupní data on-premise '!$F$133</definedName>
    <definedName name="_xlnm.Print_Area" localSheetId="0">'1.Úvodní parametry'!$A$1:$F$50</definedName>
    <definedName name="_xlnm.Print_Area" localSheetId="2">'2. Vstupní data on-premise '!$A$1:$H$194</definedName>
    <definedName name="_xlnm.Print_Area" localSheetId="3">'3. Vstupní data cloud'!$A$1:$G$100</definedName>
    <definedName name="_xlnm.Print_Area" localSheetId="4">'4. Výsledky porovnání'!$A$1:$K$167</definedName>
    <definedName name="ProcentoInterniZdrojePremiseNAKUP">'2. Vstupní data on-premise '!$F$151</definedName>
    <definedName name="RackUmisteni">'2. Vstupní data on-premise '!$F$98</definedName>
    <definedName name="RackyPorizeni">'2. Vstupní data on-premise '!$F$97</definedName>
    <definedName name="RouterPorizeni">'2. Vstupní data on-premise '!$F$69</definedName>
    <definedName name="SANCenaTB">'2. Vstupní data on-premise '!$F$59</definedName>
    <definedName name="SANPocetDisku">'2. Vstupní data on-premise '!$F$61</definedName>
    <definedName name="SANPocetJednotek">'2. Vstupní data on-premise '!$F$62</definedName>
    <definedName name="SANTbCena">'2. Vstupní data on-premise '!$F$60</definedName>
    <definedName name="ServerCena">'2. Vstupní data on-premise '!$F$50</definedName>
    <definedName name="ServerPocetJednotek">'2. Vstupní data on-premise '!$F$52</definedName>
    <definedName name="ServerUdrzba">'2. Vstupní data on-premise '!$F$51</definedName>
    <definedName name="SpotrebaElektrinyOstatni">'2. Vstupní data on-premise '!$F$105</definedName>
    <definedName name="SpotrebaElektrinyServerRok">'2. Vstupní data on-premise '!$F$103</definedName>
    <definedName name="SpotrebaElektrinyUlozisteRok">'2. Vstupní data on-premise '!$F$104</definedName>
    <definedName name="SWappliance">'2. Vstupní data on-premise '!$F$42</definedName>
    <definedName name="SWInfrastrukturaMaintenance">'2. Vstupní data on-premise '!$F$19</definedName>
    <definedName name="SWInfrastrukturaNakup">'2. Vstupní data on-premise '!$F$18</definedName>
    <definedName name="SwitchPorizeni">'2. Vstupní data on-premise '!$F$71</definedName>
    <definedName name="SWkoncovehoHW">'2. Vstupní data on-premise '!$F$87</definedName>
    <definedName name="SWkoncovehoUzivateleCloud">'3. Vstupní data cloud'!$F$51</definedName>
    <definedName name="tabulka">tabulky!$A$1:$A$2</definedName>
    <definedName name="Typrole">tabulky!$G$7:$G$9</definedName>
    <definedName name="VelikostDatabaze">'2. Vstupní data on-premise '!$F$55</definedName>
    <definedName name="VelikostUloziste">'2. Vstupní data on-premise '!$F$55</definedName>
    <definedName name="VyvojNakup">'2. Vstupní data on-premise '!$F$177</definedName>
    <definedName name="VyvojSW">'2. Vstupní data on-premise '!$F$22</definedName>
    <definedName name="vyvojSWmanten">'2. Vstupní data on-premise '!$F$23</definedName>
    <definedName name="WindowsPoplatekRokUzivatel">'2. Vstupní data on-premise '!$F$14</definedName>
    <definedName name="WindowsSrvPoplatekRok">'2. Vstupní data on-premise '!$F$12</definedName>
    <definedName name="ZalohaTbCena">'2. Vstupní data on-premise '!$F$66</definedName>
    <definedName name="ZalohaTBCenaHW">'2. Vstupní data on-premise '!$F$65</definedName>
    <definedName name="ZÁLOHATBcenaHW">'2. Vstupní data on-premise '!#REF!</definedName>
    <definedName name="ZivotHWaSWuzivatele">'2. Vstupní data on-premise '!$E$86</definedName>
    <definedName name="ZivotnostServeru">'2. Vstupní data on-premise '!$F$49</definedName>
    <definedName name="ZivotnostUzivatelskychZarizeni">'2. Vstupní data on-premise '!$D$86</definedName>
    <definedName name="ŽivotnostUživatelskýchZařízení">tabulky!$A$1:$A$2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7" l="1"/>
  <c r="D85" i="5" l="1"/>
  <c r="D65" i="5"/>
  <c r="I139" i="7" l="1"/>
  <c r="H139" i="7"/>
  <c r="G139" i="7"/>
  <c r="F139" i="7"/>
  <c r="I137" i="7"/>
  <c r="H137" i="7"/>
  <c r="G137" i="7"/>
  <c r="G138" i="7"/>
  <c r="G136" i="7"/>
  <c r="G140" i="7"/>
  <c r="G141" i="7"/>
  <c r="G142" i="7"/>
  <c r="G143" i="7"/>
  <c r="G134" i="7"/>
  <c r="F134" i="7"/>
  <c r="H141" i="7"/>
  <c r="H143" i="7"/>
  <c r="F137" i="7"/>
  <c r="F138" i="7"/>
  <c r="F136" i="7"/>
  <c r="F140" i="7"/>
  <c r="F141" i="7"/>
  <c r="F142" i="7"/>
  <c r="F143" i="7"/>
  <c r="H136" i="7"/>
  <c r="I138" i="7"/>
  <c r="I136" i="7"/>
  <c r="I140" i="7"/>
  <c r="I141" i="7"/>
  <c r="I142" i="7"/>
  <c r="I143" i="7"/>
  <c r="E143" i="7"/>
  <c r="I134" i="7"/>
  <c r="H138" i="7"/>
  <c r="H140" i="7"/>
  <c r="H142" i="7"/>
  <c r="H134" i="7"/>
  <c r="I135" i="7"/>
  <c r="H135" i="7"/>
  <c r="F135" i="7"/>
  <c r="G135" i="7"/>
  <c r="I133" i="7"/>
  <c r="I132" i="7"/>
  <c r="I131" i="7"/>
  <c r="H133" i="7"/>
  <c r="H132" i="7"/>
  <c r="H131" i="7"/>
  <c r="G133" i="7"/>
  <c r="G132" i="7"/>
  <c r="G131" i="7"/>
  <c r="F133" i="7"/>
  <c r="F132" i="7"/>
  <c r="F131" i="7"/>
  <c r="I121" i="7"/>
  <c r="I120" i="7"/>
  <c r="G120" i="7"/>
  <c r="F121" i="7"/>
  <c r="F120" i="7"/>
  <c r="H121" i="7"/>
  <c r="H120" i="7"/>
  <c r="G121" i="7"/>
  <c r="I71" i="7"/>
  <c r="H71" i="7"/>
  <c r="G71" i="7"/>
  <c r="I70" i="7"/>
  <c r="H70" i="7"/>
  <c r="G70" i="7"/>
  <c r="I69" i="7"/>
  <c r="H69" i="7"/>
  <c r="G69" i="7"/>
  <c r="I68" i="7"/>
  <c r="H68" i="7"/>
  <c r="G68" i="7"/>
  <c r="F71" i="7"/>
  <c r="F70" i="7"/>
  <c r="F69" i="7"/>
  <c r="F68" i="7"/>
  <c r="I67" i="7"/>
  <c r="H67" i="7"/>
  <c r="G67" i="7"/>
  <c r="F67" i="7"/>
  <c r="I66" i="7"/>
  <c r="H66" i="7"/>
  <c r="G66" i="7"/>
  <c r="F66" i="7"/>
  <c r="E71" i="7"/>
  <c r="I65" i="7"/>
  <c r="H65" i="7"/>
  <c r="G65" i="7"/>
  <c r="F65" i="7"/>
  <c r="I64" i="7"/>
  <c r="H64" i="7"/>
  <c r="G64" i="7"/>
  <c r="F64" i="7"/>
  <c r="I62" i="7" l="1"/>
  <c r="H62" i="7"/>
  <c r="G62" i="7"/>
  <c r="F62" i="7"/>
  <c r="I61" i="7"/>
  <c r="H61" i="7"/>
  <c r="G61" i="7"/>
  <c r="F61" i="7"/>
  <c r="I63" i="7"/>
  <c r="H63" i="7"/>
  <c r="G63" i="7"/>
  <c r="F63" i="7"/>
  <c r="I60" i="7"/>
  <c r="H60" i="7"/>
  <c r="G60" i="7"/>
  <c r="F60" i="7"/>
  <c r="I59" i="7"/>
  <c r="H59" i="7"/>
  <c r="G59" i="7"/>
  <c r="F59" i="7"/>
  <c r="I30" i="7" l="1"/>
  <c r="H30" i="7"/>
  <c r="G30" i="7"/>
  <c r="F30" i="7"/>
  <c r="I29" i="7"/>
  <c r="H29" i="7"/>
  <c r="G29" i="7"/>
  <c r="F29" i="7"/>
  <c r="E33" i="7"/>
  <c r="I50" i="7"/>
  <c r="H50" i="7"/>
  <c r="G50" i="7"/>
  <c r="F50" i="7"/>
  <c r="I49" i="7"/>
  <c r="H49" i="7"/>
  <c r="G49" i="7"/>
  <c r="F49" i="7"/>
  <c r="E49" i="7"/>
  <c r="D65" i="6" l="1"/>
  <c r="D59" i="6"/>
  <c r="I105" i="7" l="1"/>
  <c r="H105" i="7"/>
  <c r="G105" i="7"/>
  <c r="F105" i="7"/>
  <c r="E105" i="7"/>
  <c r="E48" i="7"/>
  <c r="I46" i="7"/>
  <c r="H46" i="7"/>
  <c r="G46" i="7"/>
  <c r="F46" i="7"/>
  <c r="E46" i="7"/>
  <c r="J105" i="7" l="1"/>
  <c r="F185" i="6" l="1"/>
  <c r="D185" i="6"/>
  <c r="C185" i="6"/>
  <c r="F159" i="7" l="1"/>
  <c r="G159" i="7" s="1"/>
  <c r="H159" i="7" s="1"/>
  <c r="I159" i="7" s="1"/>
  <c r="H89" i="7" l="1"/>
  <c r="E41" i="7"/>
  <c r="F60" i="6"/>
  <c r="F19" i="6"/>
  <c r="F8" i="5"/>
  <c r="E160" i="7"/>
  <c r="F49" i="6"/>
  <c r="E39" i="1"/>
  <c r="E1" i="7"/>
  <c r="I104" i="7"/>
  <c r="H104" i="7"/>
  <c r="G104" i="7"/>
  <c r="F104" i="7"/>
  <c r="E104" i="7"/>
  <c r="I54" i="7"/>
  <c r="H54" i="7"/>
  <c r="G54" i="7"/>
  <c r="F54" i="7"/>
  <c r="E54" i="7"/>
  <c r="I57" i="7"/>
  <c r="H57" i="7"/>
  <c r="G57" i="7"/>
  <c r="F57" i="7"/>
  <c r="E57" i="7"/>
  <c r="I56" i="7"/>
  <c r="H56" i="7"/>
  <c r="G56" i="7"/>
  <c r="F56" i="7"/>
  <c r="E56" i="7"/>
  <c r="C97" i="5"/>
  <c r="F186" i="6"/>
  <c r="H94" i="7"/>
  <c r="I53" i="7"/>
  <c r="H53" i="7"/>
  <c r="G53" i="7"/>
  <c r="F53" i="7"/>
  <c r="I52" i="7"/>
  <c r="H52" i="7"/>
  <c r="G52" i="7"/>
  <c r="F52" i="7"/>
  <c r="E53" i="7"/>
  <c r="E52" i="7"/>
  <c r="I102" i="7"/>
  <c r="H102" i="7"/>
  <c r="G102" i="7"/>
  <c r="F102" i="7"/>
  <c r="E102" i="7"/>
  <c r="F18" i="7"/>
  <c r="F16" i="7"/>
  <c r="I149" i="7"/>
  <c r="I148" i="7" s="1"/>
  <c r="H149" i="7"/>
  <c r="H148" i="7" s="1"/>
  <c r="G149" i="7"/>
  <c r="G148" i="7" s="1"/>
  <c r="F149" i="7"/>
  <c r="F148" i="7" s="1"/>
  <c r="E149" i="7"/>
  <c r="E148" i="7" s="1"/>
  <c r="I129" i="7"/>
  <c r="H129" i="7"/>
  <c r="G129" i="7"/>
  <c r="F129" i="7"/>
  <c r="E129" i="7"/>
  <c r="F92" i="5"/>
  <c r="D92" i="5"/>
  <c r="C92" i="5"/>
  <c r="F91" i="5"/>
  <c r="F90" i="5"/>
  <c r="C91" i="5"/>
  <c r="C90" i="5"/>
  <c r="F97" i="5"/>
  <c r="C98" i="5"/>
  <c r="I128" i="7"/>
  <c r="H128" i="7"/>
  <c r="G128" i="7"/>
  <c r="F128" i="7"/>
  <c r="E128" i="7"/>
  <c r="I127" i="7"/>
  <c r="H127" i="7"/>
  <c r="G127" i="7"/>
  <c r="F127" i="7"/>
  <c r="E127" i="7"/>
  <c r="J125" i="7"/>
  <c r="J126" i="7"/>
  <c r="J124" i="7"/>
  <c r="F193" i="6"/>
  <c r="C193" i="6"/>
  <c r="F192" i="6"/>
  <c r="C192" i="6"/>
  <c r="F187" i="6"/>
  <c r="C187" i="6"/>
  <c r="D186" i="6"/>
  <c r="C186" i="6"/>
  <c r="D187" i="6"/>
  <c r="I81" i="7"/>
  <c r="H81" i="7"/>
  <c r="G81" i="7"/>
  <c r="F81" i="7"/>
  <c r="E81" i="7"/>
  <c r="I36" i="7"/>
  <c r="H36" i="7"/>
  <c r="G36" i="7"/>
  <c r="F36" i="7"/>
  <c r="E36" i="7"/>
  <c r="I41" i="7"/>
  <c r="F41" i="7"/>
  <c r="I40" i="7"/>
  <c r="H40" i="7"/>
  <c r="G40" i="7"/>
  <c r="E40" i="7"/>
  <c r="F40" i="7"/>
  <c r="E94" i="7"/>
  <c r="I91" i="7"/>
  <c r="H91" i="7"/>
  <c r="G91" i="7"/>
  <c r="F91" i="7"/>
  <c r="E91" i="7"/>
  <c r="I112" i="7"/>
  <c r="H112" i="7"/>
  <c r="G112" i="7"/>
  <c r="F112" i="7"/>
  <c r="E112" i="7"/>
  <c r="J108" i="7"/>
  <c r="I45" i="7"/>
  <c r="H45" i="7"/>
  <c r="G45" i="7"/>
  <c r="F45" i="7"/>
  <c r="E45" i="7"/>
  <c r="I42" i="7"/>
  <c r="H42" i="7"/>
  <c r="G42" i="7"/>
  <c r="F42" i="7"/>
  <c r="E42" i="7"/>
  <c r="I101" i="7"/>
  <c r="H101" i="7"/>
  <c r="G101" i="7"/>
  <c r="F101" i="7"/>
  <c r="E101" i="7"/>
  <c r="E99" i="7"/>
  <c r="F99" i="7"/>
  <c r="G99" i="7"/>
  <c r="H99" i="7"/>
  <c r="I99" i="7"/>
  <c r="I95" i="7"/>
  <c r="H95" i="7"/>
  <c r="G95" i="7"/>
  <c r="F95" i="7"/>
  <c r="E95" i="7"/>
  <c r="F94" i="7"/>
  <c r="I48" i="7"/>
  <c r="I47" i="7" s="1"/>
  <c r="H48" i="7"/>
  <c r="H47" i="7" s="1"/>
  <c r="G48" i="7"/>
  <c r="G47" i="7" s="1"/>
  <c r="F48" i="7"/>
  <c r="F47" i="7" s="1"/>
  <c r="E34" i="7"/>
  <c r="I34" i="7"/>
  <c r="I35" i="7"/>
  <c r="I33" i="7"/>
  <c r="H34" i="7"/>
  <c r="H35" i="7"/>
  <c r="H33" i="7"/>
  <c r="G34" i="7"/>
  <c r="G35" i="7"/>
  <c r="G33" i="7"/>
  <c r="F34" i="7"/>
  <c r="F35" i="7"/>
  <c r="F33" i="7"/>
  <c r="E35" i="7"/>
  <c r="D192" i="6"/>
  <c r="J49" i="7"/>
  <c r="J46" i="7"/>
  <c r="F58" i="7"/>
  <c r="G58" i="7"/>
  <c r="H58" i="7"/>
  <c r="I58" i="7"/>
  <c r="J71" i="7"/>
  <c r="J143" i="7"/>
  <c r="E33" i="1"/>
  <c r="E45" i="1" s="1"/>
  <c r="E20" i="1" s="1"/>
  <c r="E131" i="6" s="1"/>
  <c r="F130" i="7"/>
  <c r="G130" i="7"/>
  <c r="H130" i="7"/>
  <c r="I130" i="7"/>
  <c r="D91" i="5"/>
  <c r="E27" i="1"/>
  <c r="F98" i="5"/>
  <c r="D90" i="5"/>
  <c r="I123" i="7"/>
  <c r="I119" i="7"/>
  <c r="H123" i="7"/>
  <c r="G123" i="7"/>
  <c r="F123" i="7"/>
  <c r="E123" i="7"/>
  <c r="H119" i="7"/>
  <c r="G119" i="7"/>
  <c r="F119" i="7"/>
  <c r="G28" i="7"/>
  <c r="F28" i="7"/>
  <c r="I28" i="7"/>
  <c r="H28" i="7"/>
  <c r="J107" i="7"/>
  <c r="D193" i="6"/>
  <c r="D97" i="5"/>
  <c r="D98" i="5"/>
  <c r="I94" i="7"/>
  <c r="G94" i="7"/>
  <c r="J123" i="7" l="1"/>
  <c r="I100" i="7"/>
  <c r="F100" i="7"/>
  <c r="G100" i="7"/>
  <c r="H100" i="7"/>
  <c r="E100" i="7"/>
  <c r="E44" i="1"/>
  <c r="E19" i="1" s="1"/>
  <c r="E157" i="6" s="1"/>
  <c r="E59" i="7" s="1"/>
  <c r="E178" i="6"/>
  <c r="F179" i="6" s="1"/>
  <c r="E126" i="6"/>
  <c r="E120" i="6"/>
  <c r="E122" i="6"/>
  <c r="E127" i="6"/>
  <c r="E124" i="6"/>
  <c r="F194" i="6"/>
  <c r="H41" i="7"/>
  <c r="H39" i="7" s="1"/>
  <c r="G41" i="7"/>
  <c r="G39" i="7" s="1"/>
  <c r="H122" i="7"/>
  <c r="I51" i="7"/>
  <c r="I122" i="7"/>
  <c r="E122" i="7"/>
  <c r="H51" i="7"/>
  <c r="E55" i="7"/>
  <c r="D99" i="5"/>
  <c r="C99" i="5"/>
  <c r="E93" i="7"/>
  <c r="F39" i="7"/>
  <c r="F18" i="6"/>
  <c r="C194" i="6"/>
  <c r="D194" i="6"/>
  <c r="E98" i="7"/>
  <c r="H98" i="7"/>
  <c r="G98" i="7"/>
  <c r="I98" i="7"/>
  <c r="F98" i="7"/>
  <c r="E89" i="7"/>
  <c r="G93" i="7"/>
  <c r="F89" i="7"/>
  <c r="G89" i="7"/>
  <c r="I89" i="7"/>
  <c r="J48" i="7"/>
  <c r="J35" i="7"/>
  <c r="J34" i="7"/>
  <c r="I32" i="7"/>
  <c r="J95" i="7"/>
  <c r="J42" i="7"/>
  <c r="I93" i="7"/>
  <c r="E32" i="7"/>
  <c r="H93" i="7"/>
  <c r="F188" i="6"/>
  <c r="C93" i="5"/>
  <c r="F93" i="5"/>
  <c r="E81" i="5"/>
  <c r="E77" i="5"/>
  <c r="E69" i="5"/>
  <c r="E35" i="5"/>
  <c r="E24" i="5"/>
  <c r="E14" i="5"/>
  <c r="E159" i="6"/>
  <c r="E163" i="6"/>
  <c r="E167" i="6"/>
  <c r="E125" i="6"/>
  <c r="E70" i="5"/>
  <c r="E59" i="5"/>
  <c r="E15" i="5"/>
  <c r="E166" i="6"/>
  <c r="E80" i="5"/>
  <c r="E76" i="5"/>
  <c r="E36" i="5"/>
  <c r="E25" i="5"/>
  <c r="E160" i="6"/>
  <c r="E164" i="6"/>
  <c r="E168" i="6"/>
  <c r="E137" i="6"/>
  <c r="E128" i="6"/>
  <c r="E112" i="6"/>
  <c r="E27" i="5"/>
  <c r="E138" i="6"/>
  <c r="E111" i="6"/>
  <c r="E79" i="5"/>
  <c r="E75" i="5"/>
  <c r="E71" i="5"/>
  <c r="E34" i="5"/>
  <c r="E26" i="5"/>
  <c r="E16" i="5"/>
  <c r="E165" i="6"/>
  <c r="E169" i="6"/>
  <c r="E148" i="6"/>
  <c r="E129" i="6"/>
  <c r="E78" i="5"/>
  <c r="E23" i="5"/>
  <c r="E158" i="6"/>
  <c r="E170" i="6"/>
  <c r="E123" i="6"/>
  <c r="E68" i="5"/>
  <c r="E131" i="7" s="1"/>
  <c r="F151" i="7"/>
  <c r="F150" i="7" s="1"/>
  <c r="G151" i="7"/>
  <c r="G150" i="7" s="1"/>
  <c r="I151" i="7"/>
  <c r="I150" i="7" s="1"/>
  <c r="H151" i="7"/>
  <c r="H150" i="7" s="1"/>
  <c r="E151" i="7"/>
  <c r="E150" i="7" s="1"/>
  <c r="F51" i="7"/>
  <c r="E46" i="1"/>
  <c r="E21" i="1" s="1"/>
  <c r="H32" i="7"/>
  <c r="J36" i="7"/>
  <c r="J81" i="7"/>
  <c r="D93" i="5"/>
  <c r="J148" i="7"/>
  <c r="F99" i="5"/>
  <c r="J128" i="7"/>
  <c r="J102" i="7"/>
  <c r="J52" i="7"/>
  <c r="G55" i="7"/>
  <c r="G97" i="7"/>
  <c r="H97" i="7"/>
  <c r="F97" i="7"/>
  <c r="I97" i="7"/>
  <c r="E97" i="7"/>
  <c r="E51" i="7"/>
  <c r="H55" i="7"/>
  <c r="J149" i="7"/>
  <c r="J91" i="7"/>
  <c r="J94" i="7"/>
  <c r="J57" i="7"/>
  <c r="I55" i="7"/>
  <c r="J54" i="7"/>
  <c r="F93" i="7"/>
  <c r="J99" i="7"/>
  <c r="J101" i="7"/>
  <c r="J45" i="7"/>
  <c r="J112" i="7"/>
  <c r="I39" i="7"/>
  <c r="F122" i="7"/>
  <c r="J129" i="7"/>
  <c r="J104" i="7"/>
  <c r="I147" i="7"/>
  <c r="E147" i="7"/>
  <c r="G147" i="7"/>
  <c r="H147" i="7"/>
  <c r="G103" i="7"/>
  <c r="F103" i="7"/>
  <c r="I103" i="7"/>
  <c r="E103" i="7"/>
  <c r="H103" i="7"/>
  <c r="J53" i="7"/>
  <c r="G51" i="7"/>
  <c r="G32" i="7"/>
  <c r="J33" i="7"/>
  <c r="F147" i="7"/>
  <c r="G122" i="7"/>
  <c r="F55" i="7"/>
  <c r="J56" i="7"/>
  <c r="E39" i="7"/>
  <c r="J40" i="7"/>
  <c r="D188" i="6"/>
  <c r="J127" i="7"/>
  <c r="F160" i="7"/>
  <c r="F32" i="7"/>
  <c r="C188" i="6"/>
  <c r="E161" i="7"/>
  <c r="F66" i="6"/>
  <c r="E38" i="7" s="1"/>
  <c r="F83" i="5" l="1"/>
  <c r="E61" i="5"/>
  <c r="E119" i="6"/>
  <c r="I83" i="7" s="1"/>
  <c r="F30" i="5"/>
  <c r="E150" i="6"/>
  <c r="E139" i="7"/>
  <c r="J139" i="7" s="1"/>
  <c r="E138" i="7"/>
  <c r="J138" i="7" s="1"/>
  <c r="E136" i="7"/>
  <c r="J136" i="7" s="1"/>
  <c r="J142" i="7"/>
  <c r="E142" i="7"/>
  <c r="E140" i="7"/>
  <c r="J140" i="7" s="1"/>
  <c r="J137" i="7"/>
  <c r="E137" i="7"/>
  <c r="E120" i="7"/>
  <c r="E132" i="7"/>
  <c r="J132" i="7" s="1"/>
  <c r="F63" i="5"/>
  <c r="E121" i="7"/>
  <c r="J121" i="7" s="1"/>
  <c r="E141" i="7"/>
  <c r="J141" i="7" s="1"/>
  <c r="E133" i="7"/>
  <c r="J133" i="7" s="1"/>
  <c r="J17" i="7"/>
  <c r="E66" i="7"/>
  <c r="J66" i="7" s="1"/>
  <c r="E70" i="7"/>
  <c r="J70" i="7" s="1"/>
  <c r="E68" i="7"/>
  <c r="J68" i="7" s="1"/>
  <c r="E67" i="7"/>
  <c r="J67" i="7" s="1"/>
  <c r="E60" i="7"/>
  <c r="J60" i="7" s="1"/>
  <c r="E64" i="7"/>
  <c r="J64" i="7" s="1"/>
  <c r="F133" i="6"/>
  <c r="F172" i="6"/>
  <c r="E65" i="7"/>
  <c r="J65" i="7" s="1"/>
  <c r="E69" i="7"/>
  <c r="J69" i="7" s="1"/>
  <c r="E61" i="7"/>
  <c r="J61" i="7" s="1"/>
  <c r="J100" i="7"/>
  <c r="E30" i="7"/>
  <c r="J30" i="7" s="1"/>
  <c r="E29" i="7"/>
  <c r="J29" i="7" s="1"/>
  <c r="E50" i="7"/>
  <c r="J50" i="7" s="1"/>
  <c r="G75" i="7"/>
  <c r="I75" i="7"/>
  <c r="H75" i="7"/>
  <c r="E75" i="7"/>
  <c r="F75" i="7"/>
  <c r="H74" i="7"/>
  <c r="E74" i="7"/>
  <c r="I74" i="7"/>
  <c r="G74" i="7"/>
  <c r="F74" i="7"/>
  <c r="F76" i="7"/>
  <c r="I76" i="7"/>
  <c r="H76" i="7"/>
  <c r="E76" i="7"/>
  <c r="G76" i="7"/>
  <c r="I77" i="7"/>
  <c r="H77" i="7"/>
  <c r="F77" i="7"/>
  <c r="E77" i="7"/>
  <c r="G77" i="7"/>
  <c r="H87" i="7"/>
  <c r="I87" i="7"/>
  <c r="E87" i="7"/>
  <c r="F87" i="7"/>
  <c r="G87" i="7"/>
  <c r="I38" i="7"/>
  <c r="H38" i="7"/>
  <c r="G38" i="7"/>
  <c r="F38" i="7"/>
  <c r="F37" i="7" s="1"/>
  <c r="J41" i="7"/>
  <c r="E145" i="7"/>
  <c r="H145" i="7"/>
  <c r="J150" i="7"/>
  <c r="J151" i="7"/>
  <c r="J93" i="7"/>
  <c r="I44" i="7"/>
  <c r="I43" i="7" s="1"/>
  <c r="H44" i="7"/>
  <c r="H43" i="7" s="1"/>
  <c r="F44" i="7"/>
  <c r="F43" i="7" s="1"/>
  <c r="G44" i="7"/>
  <c r="G43" i="7" s="1"/>
  <c r="E44" i="7"/>
  <c r="E43" i="7" s="1"/>
  <c r="J15" i="7"/>
  <c r="J89" i="7"/>
  <c r="J98" i="7"/>
  <c r="J32" i="7"/>
  <c r="G96" i="7"/>
  <c r="J51" i="7"/>
  <c r="I96" i="7"/>
  <c r="F152" i="6"/>
  <c r="J39" i="7"/>
  <c r="H96" i="7"/>
  <c r="F96" i="7"/>
  <c r="J97" i="7"/>
  <c r="J18" i="7"/>
  <c r="E73" i="5"/>
  <c r="E28" i="5"/>
  <c r="E139" i="6"/>
  <c r="E72" i="5"/>
  <c r="E22" i="5"/>
  <c r="H146" i="7" s="1"/>
  <c r="E74" i="5"/>
  <c r="E135" i="7" s="1"/>
  <c r="E162" i="6"/>
  <c r="E161" i="6"/>
  <c r="E121" i="6"/>
  <c r="E113" i="6"/>
  <c r="F78" i="7" s="1"/>
  <c r="E130" i="6"/>
  <c r="I111" i="7" s="1"/>
  <c r="J55" i="7"/>
  <c r="E37" i="7"/>
  <c r="H86" i="7"/>
  <c r="E86" i="7"/>
  <c r="I86" i="7"/>
  <c r="G86" i="7"/>
  <c r="F86" i="7"/>
  <c r="G85" i="7"/>
  <c r="F85" i="7"/>
  <c r="H85" i="7"/>
  <c r="I85" i="7"/>
  <c r="E85" i="7"/>
  <c r="G160" i="7"/>
  <c r="F161" i="7"/>
  <c r="F38" i="5"/>
  <c r="F39" i="5" s="1"/>
  <c r="J147" i="7"/>
  <c r="G145" i="7"/>
  <c r="J122" i="7"/>
  <c r="J59" i="7"/>
  <c r="F18" i="5"/>
  <c r="I145" i="7"/>
  <c r="E162" i="7"/>
  <c r="E90" i="7"/>
  <c r="J16" i="7"/>
  <c r="F92" i="7"/>
  <c r="E92" i="7"/>
  <c r="G92" i="7"/>
  <c r="H92" i="7"/>
  <c r="I92" i="7"/>
  <c r="F80" i="7"/>
  <c r="F79" i="7" s="1"/>
  <c r="I80" i="7"/>
  <c r="I79" i="7" s="1"/>
  <c r="E80" i="7"/>
  <c r="H80" i="7"/>
  <c r="H79" i="7" s="1"/>
  <c r="G80" i="7"/>
  <c r="G79" i="7" s="1"/>
  <c r="H83" i="7"/>
  <c r="E83" i="7"/>
  <c r="F83" i="7"/>
  <c r="J103" i="7"/>
  <c r="E96" i="7"/>
  <c r="F145" i="7"/>
  <c r="G83" i="7" l="1"/>
  <c r="E119" i="7"/>
  <c r="J120" i="7"/>
  <c r="J134" i="7"/>
  <c r="E134" i="7"/>
  <c r="E130" i="7" s="1"/>
  <c r="J19" i="7"/>
  <c r="E28" i="7"/>
  <c r="J28" i="7" s="1"/>
  <c r="E62" i="7"/>
  <c r="J62" i="7" s="1"/>
  <c r="E63" i="7"/>
  <c r="J63" i="7" s="1"/>
  <c r="E47" i="7"/>
  <c r="J47" i="7" s="1"/>
  <c r="J75" i="7"/>
  <c r="J87" i="7"/>
  <c r="J77" i="7"/>
  <c r="J74" i="7"/>
  <c r="J76" i="7"/>
  <c r="H144" i="7"/>
  <c r="J20" i="7"/>
  <c r="J119" i="7"/>
  <c r="F146" i="7"/>
  <c r="F144" i="7" s="1"/>
  <c r="E146" i="7"/>
  <c r="E144" i="7" s="1"/>
  <c r="G146" i="7"/>
  <c r="G144" i="7" s="1"/>
  <c r="J135" i="7"/>
  <c r="G111" i="7"/>
  <c r="E111" i="7"/>
  <c r="F31" i="7"/>
  <c r="J44" i="7"/>
  <c r="J43" i="7" s="1"/>
  <c r="J96" i="7"/>
  <c r="F111" i="7"/>
  <c r="H111" i="7"/>
  <c r="H78" i="7"/>
  <c r="H73" i="7" s="1"/>
  <c r="E78" i="7"/>
  <c r="F141" i="6"/>
  <c r="F142" i="6" s="1"/>
  <c r="G110" i="7" s="1"/>
  <c r="I78" i="7"/>
  <c r="I73" i="7" s="1"/>
  <c r="G78" i="7"/>
  <c r="G73" i="7" s="1"/>
  <c r="H84" i="7"/>
  <c r="G84" i="7"/>
  <c r="I84" i="7"/>
  <c r="E84" i="7"/>
  <c r="F84" i="7"/>
  <c r="F115" i="6"/>
  <c r="I146" i="7"/>
  <c r="F73" i="7"/>
  <c r="J80" i="7"/>
  <c r="E79" i="7"/>
  <c r="J79" i="7" s="1"/>
  <c r="J131" i="7"/>
  <c r="J85" i="7"/>
  <c r="J86" i="7"/>
  <c r="I153" i="7"/>
  <c r="I152" i="7" s="1"/>
  <c r="E153" i="7"/>
  <c r="G153" i="7"/>
  <c r="G152" i="7" s="1"/>
  <c r="F153" i="7"/>
  <c r="F152" i="7" s="1"/>
  <c r="H153" i="7"/>
  <c r="H152" i="7" s="1"/>
  <c r="J83" i="7"/>
  <c r="J92" i="7"/>
  <c r="F162" i="7"/>
  <c r="F90" i="7"/>
  <c r="F88" i="7" s="1"/>
  <c r="J145" i="7"/>
  <c r="E88" i="7"/>
  <c r="H160" i="7"/>
  <c r="G37" i="7"/>
  <c r="G31" i="7" s="1"/>
  <c r="G161" i="7"/>
  <c r="E31" i="7" l="1"/>
  <c r="E58" i="7"/>
  <c r="J58" i="7" s="1"/>
  <c r="H154" i="7"/>
  <c r="H156" i="7" s="1"/>
  <c r="J130" i="7"/>
  <c r="J146" i="7"/>
  <c r="G109" i="7"/>
  <c r="G106" i="7" s="1"/>
  <c r="E110" i="7"/>
  <c r="E109" i="7" s="1"/>
  <c r="E106" i="7" s="1"/>
  <c r="J111" i="7"/>
  <c r="E82" i="7"/>
  <c r="E73" i="7"/>
  <c r="J73" i="7" s="1"/>
  <c r="I110" i="7"/>
  <c r="I109" i="7" s="1"/>
  <c r="I106" i="7" s="1"/>
  <c r="F110" i="7"/>
  <c r="F109" i="7" s="1"/>
  <c r="F106" i="7" s="1"/>
  <c r="H110" i="7"/>
  <c r="H109" i="7" s="1"/>
  <c r="H106" i="7" s="1"/>
  <c r="J78" i="7"/>
  <c r="F82" i="7"/>
  <c r="F72" i="7" s="1"/>
  <c r="I144" i="7"/>
  <c r="J144" i="7" s="1"/>
  <c r="F154" i="7"/>
  <c r="F156" i="7" s="1"/>
  <c r="J84" i="7"/>
  <c r="G90" i="7"/>
  <c r="G162" i="7"/>
  <c r="E152" i="7"/>
  <c r="J153" i="7"/>
  <c r="G154" i="7"/>
  <c r="I160" i="7"/>
  <c r="H161" i="7"/>
  <c r="H155" i="7" l="1"/>
  <c r="I154" i="7"/>
  <c r="I156" i="7" s="1"/>
  <c r="F155" i="7"/>
  <c r="E72" i="7"/>
  <c r="F113" i="7"/>
  <c r="F114" i="7" s="1"/>
  <c r="J110" i="7"/>
  <c r="G88" i="7"/>
  <c r="G82" i="7" s="1"/>
  <c r="G72" i="7" s="1"/>
  <c r="G113" i="7" s="1"/>
  <c r="G155" i="7"/>
  <c r="G156" i="7"/>
  <c r="J152" i="7"/>
  <c r="J154" i="7" s="1"/>
  <c r="E154" i="7"/>
  <c r="H37" i="7"/>
  <c r="H162" i="7"/>
  <c r="H90" i="7"/>
  <c r="H88" i="7" s="1"/>
  <c r="H82" i="7" s="1"/>
  <c r="H72" i="7" s="1"/>
  <c r="J109" i="7"/>
  <c r="I161" i="7"/>
  <c r="I37" i="7"/>
  <c r="I31" i="7" s="1"/>
  <c r="I155" i="7" l="1"/>
  <c r="F115" i="7"/>
  <c r="J38" i="7"/>
  <c r="I162" i="7"/>
  <c r="I90" i="7"/>
  <c r="I88" i="7" s="1"/>
  <c r="I82" i="7" s="1"/>
  <c r="I72" i="7" s="1"/>
  <c r="I113" i="7" s="1"/>
  <c r="E156" i="7"/>
  <c r="E155" i="7"/>
  <c r="H31" i="7"/>
  <c r="H113" i="7" s="1"/>
  <c r="J37" i="7"/>
  <c r="J31" i="7" s="1"/>
  <c r="J106" i="7"/>
  <c r="E113" i="7"/>
  <c r="J156" i="7"/>
  <c r="J155" i="7"/>
  <c r="J6" i="7"/>
  <c r="J11" i="7" s="1"/>
  <c r="G115" i="7"/>
  <c r="G114" i="7"/>
  <c r="J90" i="7" l="1"/>
  <c r="J88" i="7" s="1"/>
  <c r="J82" i="7" s="1"/>
  <c r="E115" i="7"/>
  <c r="E114" i="7"/>
  <c r="H115" i="7"/>
  <c r="H114" i="7"/>
  <c r="I115" i="7"/>
  <c r="I114" i="7"/>
  <c r="J72" i="7"/>
  <c r="J113" i="7" s="1"/>
  <c r="J5" i="7" l="1"/>
  <c r="J114" i="7"/>
  <c r="J115" i="7"/>
  <c r="J7" i="7" l="1"/>
  <c r="J10" i="7"/>
  <c r="J12" i="7" s="1"/>
</calcChain>
</file>

<file path=xl/sharedStrings.xml><?xml version="1.0" encoding="utf-8"?>
<sst xmlns="http://schemas.openxmlformats.org/spreadsheetml/2006/main" count="1278" uniqueCount="459">
  <si>
    <t>%</t>
  </si>
  <si>
    <t>SAN</t>
  </si>
  <si>
    <t>kWh</t>
  </si>
  <si>
    <t>ROK 1</t>
  </si>
  <si>
    <t>ROK 2</t>
  </si>
  <si>
    <t>ROK 3</t>
  </si>
  <si>
    <t>ROK 4</t>
  </si>
  <si>
    <t>ROK 5</t>
  </si>
  <si>
    <t>Celkem</t>
  </si>
  <si>
    <t>A.1</t>
  </si>
  <si>
    <t>A.2</t>
  </si>
  <si>
    <t>Projektový záměr</t>
  </si>
  <si>
    <t>Náklady na výběr dodavatele</t>
  </si>
  <si>
    <t>B.1.1</t>
  </si>
  <si>
    <t>B.1.2</t>
  </si>
  <si>
    <t>B.3.2</t>
  </si>
  <si>
    <t>B.1.3</t>
  </si>
  <si>
    <t>A</t>
  </si>
  <si>
    <t>Náklady nákupního procesu</t>
  </si>
  <si>
    <t>Nákup SW a HW pro projekt</t>
  </si>
  <si>
    <t>B.1</t>
  </si>
  <si>
    <t>Stavební, provozní a komunikační infrastruktura</t>
  </si>
  <si>
    <t>Stavební infrastruktura</t>
  </si>
  <si>
    <t>Provozní technologie</t>
  </si>
  <si>
    <t>Napojení na externí komunikační sítě</t>
  </si>
  <si>
    <t>B.2</t>
  </si>
  <si>
    <t>IT technologie</t>
  </si>
  <si>
    <t>B.2.1</t>
  </si>
  <si>
    <t>B.2.2</t>
  </si>
  <si>
    <t>Výpočetní HW</t>
  </si>
  <si>
    <t>Interní síťový HW</t>
  </si>
  <si>
    <t>B.2.3</t>
  </si>
  <si>
    <t>Koncová zařízení uživatele</t>
  </si>
  <si>
    <t>B.3</t>
  </si>
  <si>
    <t>Licence systémového SW</t>
  </si>
  <si>
    <t>B.3.1</t>
  </si>
  <si>
    <t>Serverový systémový SW</t>
  </si>
  <si>
    <t>Systémový SW pro koncová zařízení</t>
  </si>
  <si>
    <t>B.4</t>
  </si>
  <si>
    <t>Licence vývojového SW</t>
  </si>
  <si>
    <t>Pořízení aplikačního SW</t>
  </si>
  <si>
    <t>B.5</t>
  </si>
  <si>
    <t>B.5.1</t>
  </si>
  <si>
    <t>B.5.2</t>
  </si>
  <si>
    <t>Licence balíkového řešení</t>
  </si>
  <si>
    <t>Nákup vývoje na míru</t>
  </si>
  <si>
    <t>B.5.3</t>
  </si>
  <si>
    <t>Vývoj vlastními silami</t>
  </si>
  <si>
    <t>C.</t>
  </si>
  <si>
    <t>Analýza, vývoj, implementace a zkušební provoz</t>
  </si>
  <si>
    <t>C.1</t>
  </si>
  <si>
    <t>Vedení projektu vývoje a implementace na straně VS</t>
  </si>
  <si>
    <t>C.2</t>
  </si>
  <si>
    <t>Vypracování návrhu procesního chování budoucího řešení</t>
  </si>
  <si>
    <t>Náklady změn vyvolaných zavedením ICT služby</t>
  </si>
  <si>
    <t>C.3</t>
  </si>
  <si>
    <t>C.4</t>
  </si>
  <si>
    <t>C.5</t>
  </si>
  <si>
    <t>C.6</t>
  </si>
  <si>
    <t>Customizace aplikace</t>
  </si>
  <si>
    <t>Integrace aplikace na ostatní aplikace</t>
  </si>
  <si>
    <t>C.7</t>
  </si>
  <si>
    <t>C.8</t>
  </si>
  <si>
    <t>Pořízení dat, migrace dat</t>
  </si>
  <si>
    <t>C.9</t>
  </si>
  <si>
    <t>Testování</t>
  </si>
  <si>
    <t>C.10</t>
  </si>
  <si>
    <t>Školení uživatelů</t>
  </si>
  <si>
    <t>C.11</t>
  </si>
  <si>
    <t>Akceptace a ověřovací provoz</t>
  </si>
  <si>
    <t>D.</t>
  </si>
  <si>
    <t>Provoz a podpora řešení HW a SW</t>
  </si>
  <si>
    <t>D.1</t>
  </si>
  <si>
    <t>Provoz a podpora aplikací</t>
  </si>
  <si>
    <t>D.1.1</t>
  </si>
  <si>
    <t>Aplikační monitoring</t>
  </si>
  <si>
    <t>Administrace aplikací</t>
  </si>
  <si>
    <t>D.1.2</t>
  </si>
  <si>
    <t>D.1.3</t>
  </si>
  <si>
    <t>Problém management aplikací</t>
  </si>
  <si>
    <t>D.1.4</t>
  </si>
  <si>
    <t>D.1.5</t>
  </si>
  <si>
    <t>Sofware change management aplikací</t>
  </si>
  <si>
    <t>Aplikační Service Desk a Incident management</t>
  </si>
  <si>
    <t>D.1.6</t>
  </si>
  <si>
    <t>Všeobecné a administrativní náklady pro provoz aplikací</t>
  </si>
  <si>
    <t>D.2</t>
  </si>
  <si>
    <t>Provoz a podpora IT technologií</t>
  </si>
  <si>
    <t>System Monitoring</t>
  </si>
  <si>
    <t>System Service Desk a Incident management</t>
  </si>
  <si>
    <t>D.2.1</t>
  </si>
  <si>
    <t>D.2.2</t>
  </si>
  <si>
    <t>D.2.3</t>
  </si>
  <si>
    <t>D.2.4</t>
  </si>
  <si>
    <t>D.2.5</t>
  </si>
  <si>
    <t>D.2.6</t>
  </si>
  <si>
    <t>D.3</t>
  </si>
  <si>
    <t>Provoz a podpora technologie DC a komunikační infrastruktury</t>
  </si>
  <si>
    <t>Provoz</t>
  </si>
  <si>
    <t>Podpora: administrace uživatelů (přidání, změna, odebrání)</t>
  </si>
  <si>
    <t>Podpora: řízení incidentů</t>
  </si>
  <si>
    <t>Podpora: další relevantní aktivity</t>
  </si>
  <si>
    <t>Provoz: řízení změn</t>
  </si>
  <si>
    <t>Provoz: řešení problémů</t>
  </si>
  <si>
    <t>Provoz: dohled nad provozem</t>
  </si>
  <si>
    <t>Provoz: další relevantní aktivity</t>
  </si>
  <si>
    <t>Hodina</t>
  </si>
  <si>
    <t>Jednotka</t>
  </si>
  <si>
    <t>Lidské zdroje</t>
  </si>
  <si>
    <t>Podpora celkem</t>
  </si>
  <si>
    <t>Provoz celkem</t>
  </si>
  <si>
    <t>Řízení celkem</t>
  </si>
  <si>
    <t>Kč</t>
  </si>
  <si>
    <t>Náklady na lidské zdroje</t>
  </si>
  <si>
    <t>B</t>
  </si>
  <si>
    <t>Čas projektantů a programátorů při vývoji a nasazení aplikace</t>
  </si>
  <si>
    <t>E</t>
  </si>
  <si>
    <t>Hardware/Software údržba a průběžné úpravy (ne v případě SaaS)</t>
  </si>
  <si>
    <t>E.1</t>
  </si>
  <si>
    <t>Poplatky za roční standardní údržbu HW a prvků infrastruktury</t>
  </si>
  <si>
    <t>E.2</t>
  </si>
  <si>
    <t>E.3</t>
  </si>
  <si>
    <t>Poplatky za roční standardní údržbu aplikačního SW</t>
  </si>
  <si>
    <t>E.4</t>
  </si>
  <si>
    <t xml:space="preserve">Úpravy/rozvoj aplikace (nad standardní údržbu) </t>
  </si>
  <si>
    <t>Náklady on-premise řešení</t>
  </si>
  <si>
    <t>Komentář</t>
  </si>
  <si>
    <t>Kč za 1 kWh</t>
  </si>
  <si>
    <t>Elektřina</t>
  </si>
  <si>
    <t>% za rok</t>
  </si>
  <si>
    <t>On- premise řešení</t>
  </si>
  <si>
    <t>Celkem náklady on-premise řešení</t>
  </si>
  <si>
    <t>Cloudové řešení</t>
  </si>
  <si>
    <t>Celkem cloudové řešení implementace</t>
  </si>
  <si>
    <t>Náklady cloudového řešení</t>
  </si>
  <si>
    <t>Úspora při přechodu na cloudové řešení</t>
  </si>
  <si>
    <t>Celkem náklady cloudové řešení</t>
  </si>
  <si>
    <t>Použitá data</t>
  </si>
  <si>
    <t>Kus</t>
  </si>
  <si>
    <t>Rok</t>
  </si>
  <si>
    <t xml:space="preserve">Základní parametry řešení  </t>
  </si>
  <si>
    <t>Produkt</t>
  </si>
  <si>
    <t>Ne</t>
  </si>
  <si>
    <t xml:space="preserve">Podpora 24/7 </t>
  </si>
  <si>
    <t>Ano</t>
  </si>
  <si>
    <t>Hodnota</t>
  </si>
  <si>
    <t xml:space="preserve">Interní provoz a podpora </t>
  </si>
  <si>
    <t>Nasazení</t>
  </si>
  <si>
    <t>Kurz</t>
  </si>
  <si>
    <t>CZK/EUR</t>
  </si>
  <si>
    <t>CZK/USD</t>
  </si>
  <si>
    <t>Administrace systému</t>
  </si>
  <si>
    <t>Problém management systému</t>
  </si>
  <si>
    <t>Všeobecné a administrativní náklady pro provoz systému</t>
  </si>
  <si>
    <t>Oživení HW a technologie vývojového a implementačního prostředí</t>
  </si>
  <si>
    <t>Vývoj velikosti řešení</t>
  </si>
  <si>
    <t>Velikost diskového úložiště</t>
  </si>
  <si>
    <t>Celkové náklady za 5 let provozu</t>
  </si>
  <si>
    <t>Náklady na 1 uživatele za 5 let provozu</t>
  </si>
  <si>
    <t>Celkem náklady on-premise řešení v tis. Kč</t>
  </si>
  <si>
    <t>Celkem náklady cloudové řešení v tis. Kč</t>
  </si>
  <si>
    <t>Projektový záměr- analýza TCO</t>
  </si>
  <si>
    <t>Náklady na výběr dodavatele- veřejná zakázka</t>
  </si>
  <si>
    <t>Pořizovací cena serveru</t>
  </si>
  <si>
    <t>Počet disků</t>
  </si>
  <si>
    <t>Elektřina- přímá spotřeba servery</t>
  </si>
  <si>
    <t>Zálohování</t>
  </si>
  <si>
    <t>Software</t>
  </si>
  <si>
    <t>Hardware</t>
  </si>
  <si>
    <t xml:space="preserve">Jeden SAN obsahuje počet disků </t>
  </si>
  <si>
    <t>Jeden SAN zabírá počet jednotek v racku</t>
  </si>
  <si>
    <t>Jeden server zabírá počet jednotek v racku</t>
  </si>
  <si>
    <t>Velikost úložiště celkem</t>
  </si>
  <si>
    <t>Roční nárůst velikosti diskového úložiště</t>
  </si>
  <si>
    <t>Kč/Kus za rok</t>
  </si>
  <si>
    <t>Pořizovací cena SAN úložiště</t>
  </si>
  <si>
    <t>Zabezpečená kapacita</t>
  </si>
  <si>
    <t>Elektřina- přímá spotřeba úložiště</t>
  </si>
  <si>
    <t>Počet jednotek v racku zabraných úložištěm</t>
  </si>
  <si>
    <t>Roční odpis SAN úložiště</t>
  </si>
  <si>
    <t>Velikost disku</t>
  </si>
  <si>
    <t>Celkem náklady on-premise řešení na 1 uživatele v Kč</t>
  </si>
  <si>
    <t>Celkem náklady cloudové řešení na 1 uživatele v Kč</t>
  </si>
  <si>
    <t>Náklady na umístění v datovém centru</t>
  </si>
  <si>
    <t>Náklady na software a hardware pro on-premise řešení</t>
  </si>
  <si>
    <t>Provozní náklady</t>
  </si>
  <si>
    <t>Roční poplatek za službu</t>
  </si>
  <si>
    <t>On premise řešení: náklady na software a hardware, náklady na umístění v datovém centru, náklady na změnu a náklady lidských zdrojů</t>
  </si>
  <si>
    <t>Vedení projektu vývoje a implementace na straně VS (i dodavatele)</t>
  </si>
  <si>
    <t>Vypracování celkové architektury řešení včetně procesního návrhu</t>
  </si>
  <si>
    <t>X</t>
  </si>
  <si>
    <t>Licence, HW, provoz, podpora, údržba, průběžný rozvoj- vše v subskripci</t>
  </si>
  <si>
    <t>X.1</t>
  </si>
  <si>
    <t>Předplatné služby</t>
  </si>
  <si>
    <t>Z</t>
  </si>
  <si>
    <t>Z.1</t>
  </si>
  <si>
    <t>Z.2</t>
  </si>
  <si>
    <t>Správní režie</t>
  </si>
  <si>
    <t>Obsluha zálohování</t>
  </si>
  <si>
    <t>SaaS</t>
  </si>
  <si>
    <t>IaaS</t>
  </si>
  <si>
    <t>PaaS</t>
  </si>
  <si>
    <t>Uvažované řešení pro IaaS/PaaS/SaaS</t>
  </si>
  <si>
    <t>Diskové úložiště</t>
  </si>
  <si>
    <t>Server</t>
  </si>
  <si>
    <t>Operační systém</t>
  </si>
  <si>
    <t>Antivirus/antispam licence</t>
  </si>
  <si>
    <t>Monitoring</t>
  </si>
  <si>
    <t>Jiný software</t>
  </si>
  <si>
    <t>Řízení: kybernetická bezpečnost</t>
  </si>
  <si>
    <t>Externí Konektivita</t>
  </si>
  <si>
    <t>Networking</t>
  </si>
  <si>
    <t>Možnosti</t>
  </si>
  <si>
    <t>Zabezpečení</t>
  </si>
  <si>
    <t>Firewall</t>
  </si>
  <si>
    <t>Load Balancer</t>
  </si>
  <si>
    <t>Jiný prvek</t>
  </si>
  <si>
    <t>Bezpečnostní dohledy</t>
  </si>
  <si>
    <t>Bezpečnostní projekt</t>
  </si>
  <si>
    <t>Roční náklady na údržbu serveru</t>
  </si>
  <si>
    <t>Životnost Serveru</t>
  </si>
  <si>
    <t>TB</t>
  </si>
  <si>
    <t>Cena zálohovaného napájení za 1 kWh a chlazení</t>
  </si>
  <si>
    <t>Podpora pro uživatele</t>
  </si>
  <si>
    <t>Kč za hodinu</t>
  </si>
  <si>
    <t>Hodina/rok</t>
  </si>
  <si>
    <t>Náklady na externí konzultace při přípravě projektu</t>
  </si>
  <si>
    <t>Náklady na externí poradenství - veřejná zakázka</t>
  </si>
  <si>
    <t>Náklady na externí konzultace/poradenství</t>
  </si>
  <si>
    <t>Provoz: zálohování</t>
  </si>
  <si>
    <t>Kč / infrastruktura / rok</t>
  </si>
  <si>
    <t>Kč / platforma / rok</t>
  </si>
  <si>
    <t>Kč / software / rok</t>
  </si>
  <si>
    <t>Interní &amp; externí náklady poskytování cloudové služby</t>
  </si>
  <si>
    <t>Složení nákladů na lidské zdroje</t>
  </si>
  <si>
    <t>Kč za rok</t>
  </si>
  <si>
    <t>Celkové mzdové náklady včetně odvodů</t>
  </si>
  <si>
    <t>Kč rok</t>
  </si>
  <si>
    <t>na jednoho zaměstnance</t>
  </si>
  <si>
    <t>Přímé náklady</t>
  </si>
  <si>
    <t>Osobní vybavení (notebook, telefon, atd.)</t>
  </si>
  <si>
    <t>Režijní náklady (hospodářská správa, energie, topení, úklid, atd.)</t>
  </si>
  <si>
    <t>mzdové náklady na jednoho zaměstnance</t>
  </si>
  <si>
    <t>Roční časový fond</t>
  </si>
  <si>
    <t>Náklady na vzdělávání (školení, semináře, konference vč. Cestovních nákladů)</t>
  </si>
  <si>
    <t>Hodin za rok</t>
  </si>
  <si>
    <t>Analýza, Architektura, vývoj, implementace a zkušební provoz</t>
  </si>
  <si>
    <t>Architektura řešení</t>
  </si>
  <si>
    <t>Náklady na analýzu ICT služby</t>
  </si>
  <si>
    <t>Implementace HW a technologie</t>
  </si>
  <si>
    <t>Náklady na zavedení ICT služby v režimu on-premise</t>
  </si>
  <si>
    <t>Náklady na provoz ICT služby - lidské zdroje</t>
  </si>
  <si>
    <t>Podpora: externí služba podpory</t>
  </si>
  <si>
    <t>Kč/rok</t>
  </si>
  <si>
    <t>Externí náklady na podporu služby</t>
  </si>
  <si>
    <t>Náklady na zavedení a změnu ICT služby</t>
  </si>
  <si>
    <t>Provoz: externí služba provozu</t>
  </si>
  <si>
    <t>Externí náklady na provoz služby</t>
  </si>
  <si>
    <t>Kybernetická bezpečnost</t>
  </si>
  <si>
    <t>Řízení: řízení projektu kybernetické bezpečnosti</t>
  </si>
  <si>
    <t>Řízení: další relevantní aktivity kybernetická bezpečnost</t>
  </si>
  <si>
    <t>Customizace řešení/ICT služeb</t>
  </si>
  <si>
    <t>Integrace řešení/ICT služby na ostatní aplikace/systémy</t>
  </si>
  <si>
    <t>Externí náklady kybernetická bezpečnost</t>
  </si>
  <si>
    <t>Externí náklady (smluvní náklady např Auditor, GDPR…)</t>
  </si>
  <si>
    <t>Předpokládaný počet uživatelů</t>
  </si>
  <si>
    <t>Počet</t>
  </si>
  <si>
    <t>Počet uživatelů IT nebo Cloud služby</t>
  </si>
  <si>
    <t>Počet uživatelů IT služby</t>
  </si>
  <si>
    <t>216 dní x 8 hodin; Od pracovního fondu je odečtena dovolená</t>
  </si>
  <si>
    <t>Provoz: administrace systému</t>
  </si>
  <si>
    <t>CELKEM role 1</t>
  </si>
  <si>
    <t>CELKEM role 2</t>
  </si>
  <si>
    <t>CELKEM role 3</t>
  </si>
  <si>
    <t>Role 1 - Hodinová sazba IT</t>
  </si>
  <si>
    <t>Sazba/hod</t>
  </si>
  <si>
    <t>Role 2 - Hodinová sazba IT</t>
  </si>
  <si>
    <t>Role 3 - Hodinová sazba IT</t>
  </si>
  <si>
    <t>Hrubá mzda zaměstnance</t>
  </si>
  <si>
    <t>Kč za 1 měsíc</t>
  </si>
  <si>
    <t>Provoz: výdaj na provozní bezpečnost</t>
  </si>
  <si>
    <t>Z.3</t>
  </si>
  <si>
    <t>Náklady na kybernetickou bezpečnost</t>
  </si>
  <si>
    <t>C.12</t>
  </si>
  <si>
    <t>C.13</t>
  </si>
  <si>
    <t>Celkem KB v Kč za rok</t>
  </si>
  <si>
    <t>Celkové náklady KB</t>
  </si>
  <si>
    <t>Celkem náklady k řízení KB služeb interními kapacitami</t>
  </si>
  <si>
    <t>Příprava kybernetická bezpečnost</t>
  </si>
  <si>
    <t>Ostatní - externí náklady na implementaci</t>
  </si>
  <si>
    <t>Počet hodin na jednotlivé role</t>
  </si>
  <si>
    <t>Příprava projektu:</t>
  </si>
  <si>
    <t>role 1</t>
  </si>
  <si>
    <t>role 2</t>
  </si>
  <si>
    <t>role 3</t>
  </si>
  <si>
    <t>počet hodin celkem za 1 rok</t>
  </si>
  <si>
    <t>Celkem náklady nákupního procesu</t>
  </si>
  <si>
    <t>Celkem v Kč za rok</t>
  </si>
  <si>
    <t>v Kč celkem</t>
  </si>
  <si>
    <t>počet hodin celkem</t>
  </si>
  <si>
    <t>CELKEM</t>
  </si>
  <si>
    <t>v Kč bez DPH</t>
  </si>
  <si>
    <t>Celkem  implementace</t>
  </si>
  <si>
    <t>Celkem  nákup</t>
  </si>
  <si>
    <t>v Kč celkem za rok</t>
  </si>
  <si>
    <t>Roční provoz</t>
  </si>
  <si>
    <t>Operační systém - roční údržba</t>
  </si>
  <si>
    <t>Operační systém a systémový software</t>
  </si>
  <si>
    <t>Antivirus - roční údržba</t>
  </si>
  <si>
    <t>Zálohovací SW - roční údržba</t>
  </si>
  <si>
    <t>Monitoring - roční údržba</t>
  </si>
  <si>
    <t>Jiný software - roční údržba</t>
  </si>
  <si>
    <t>D.3.1</t>
  </si>
  <si>
    <t>D.3.2</t>
  </si>
  <si>
    <t>Provoz a podpora technologie DC</t>
  </si>
  <si>
    <t>Provoz komunikační infrastruktury</t>
  </si>
  <si>
    <t>Interní konektivita - podpora</t>
  </si>
  <si>
    <t>Nepřímé náklady na jednoho zaměstnance</t>
  </si>
  <si>
    <t>Virtualizace / hypervisor</t>
  </si>
  <si>
    <t>Virtualizace / hypervisor - roční údržba</t>
  </si>
  <si>
    <t>Licence</t>
  </si>
  <si>
    <t>Poplatky za roční standardní údržbu systémového SW</t>
  </si>
  <si>
    <t>Aplikační  software</t>
  </si>
  <si>
    <t>Aplikační software - licence</t>
  </si>
  <si>
    <t>Maintenance aplikačních licencí</t>
  </si>
  <si>
    <t>V letech</t>
  </si>
  <si>
    <t>Délka projektu</t>
  </si>
  <si>
    <t>ANO</t>
  </si>
  <si>
    <t>NE</t>
  </si>
  <si>
    <t>Zobrazit jako jednorázový náklad v prvním roce?</t>
  </si>
  <si>
    <t>Přepočet na MD -příprava projektu (on-premise)</t>
  </si>
  <si>
    <t>Networking a síťové prvky</t>
  </si>
  <si>
    <t>Router</t>
  </si>
  <si>
    <t>Switch</t>
  </si>
  <si>
    <t>Kč/Routry</t>
  </si>
  <si>
    <t>Kč/Balancery</t>
  </si>
  <si>
    <t>Kč/Switche</t>
  </si>
  <si>
    <t>Kč/prvky</t>
  </si>
  <si>
    <t>Roční údržba (maintenance)</t>
  </si>
  <si>
    <t>Aplikační software - roční údržba</t>
  </si>
  <si>
    <t>E.5</t>
  </si>
  <si>
    <t>Poplatky za roční standardní údržbu komunikační infrastruktury</t>
  </si>
  <si>
    <t>Firewall - roční údržba</t>
  </si>
  <si>
    <t>Jiný prvek - roční údržba</t>
  </si>
  <si>
    <t>Z.3.1</t>
  </si>
  <si>
    <t>Z.3.2</t>
  </si>
  <si>
    <t>Kybernetická bezpečnost a bezpečnostní dohledy</t>
  </si>
  <si>
    <t>Spotřeba elektřiny - ostatní HW za rok</t>
  </si>
  <si>
    <t>Elektřina - přímá spotřeba ostatní</t>
  </si>
  <si>
    <t>Jiné prvky</t>
  </si>
  <si>
    <t>Náklady na pořízení Racků + příslušenství</t>
  </si>
  <si>
    <t>B.1.4</t>
  </si>
  <si>
    <t>Náklady na umístění Racků v datacentru</t>
  </si>
  <si>
    <t>Spotřeba elektřiny za všechna úložiště rok</t>
  </si>
  <si>
    <t>Spotřeba elektřiny za všechny servery za rok</t>
  </si>
  <si>
    <t>Software Change Management</t>
  </si>
  <si>
    <t>součet řádek licence</t>
  </si>
  <si>
    <t>součet řádek maintenance</t>
  </si>
  <si>
    <t>B.2.2 (networking a síťové prvky)</t>
  </si>
  <si>
    <t>Z.3.3</t>
  </si>
  <si>
    <t>Počet hodin na jednotlivé role - interní</t>
  </si>
  <si>
    <t xml:space="preserve"> </t>
  </si>
  <si>
    <t>Ostatní</t>
  </si>
  <si>
    <t>Aplikační software - licence formou BYOL</t>
  </si>
  <si>
    <t>Aplikační software - roční údržba formou BYOL</t>
  </si>
  <si>
    <t>Externí Konektivita pro připojení do Cloudu</t>
  </si>
  <si>
    <t>Role (1 - 3)</t>
  </si>
  <si>
    <t>C2</t>
  </si>
  <si>
    <t>C3</t>
  </si>
  <si>
    <t>Přepočet na MD- provoz (on-premise)</t>
  </si>
  <si>
    <t>Přepočet na MD- provoz (cloud)</t>
  </si>
  <si>
    <t>Přepočet na MD -příprava projektu (cloud)</t>
  </si>
  <si>
    <t>Cloudové řešení: pořízení služeb, roční poplatek za službu a náklady lidských zdrojů</t>
  </si>
  <si>
    <t>Zprovoznění (provisioning) HW+SW řešení v cloudu</t>
  </si>
  <si>
    <t>IT technologie - koncová HW zařízení uživatele</t>
  </si>
  <si>
    <t>Licence uživatele pro koncová zařízení</t>
  </si>
  <si>
    <t>Pořízení aplikačního SW -  licence formou BYOL</t>
  </si>
  <si>
    <t>Ostatní - externí náklady na implementaci v cloudu</t>
  </si>
  <si>
    <t>HW/SW údržba nad rámec XaaS</t>
  </si>
  <si>
    <t>Příprava projektu</t>
  </si>
  <si>
    <t>Počet MD zaměstnanců podílejících se na implementaci a provozu</t>
  </si>
  <si>
    <t>Úspora MD při přechodu na cloudové řešení -příprava</t>
  </si>
  <si>
    <t>Úspora MD při přechodu na cloudové řešení - provoz</t>
  </si>
  <si>
    <t>Počet serverů</t>
  </si>
  <si>
    <t>HW/SW zařízení (Appliance)</t>
  </si>
  <si>
    <t>HW appliance</t>
  </si>
  <si>
    <t>SW appliance</t>
  </si>
  <si>
    <t>B.6</t>
  </si>
  <si>
    <t>B.6.1</t>
  </si>
  <si>
    <t>B.6.2</t>
  </si>
  <si>
    <t>E.6</t>
  </si>
  <si>
    <t>Poplatky za roční údržbu HW/SW Appliance</t>
  </si>
  <si>
    <t>počet MD</t>
  </si>
  <si>
    <t>Role 1 - Projektový manažer</t>
  </si>
  <si>
    <t>Role 3 - Specialista</t>
  </si>
  <si>
    <t>Role 2 - Architekt, Analytik</t>
  </si>
  <si>
    <t>Náklady na nasazení aplikací</t>
  </si>
  <si>
    <t>Pořizovací cena HW zálohování dat</t>
  </si>
  <si>
    <t>Roční odpis HW zálohování</t>
  </si>
  <si>
    <t>Middleware</t>
  </si>
  <si>
    <t>Databáze</t>
  </si>
  <si>
    <t>Databázový software</t>
  </si>
  <si>
    <t>Integrační software</t>
  </si>
  <si>
    <t>Integrační SW- roční údržba</t>
  </si>
  <si>
    <t>Databáze - roční údržba</t>
  </si>
  <si>
    <t>B.7</t>
  </si>
  <si>
    <t>Databázový SW</t>
  </si>
  <si>
    <t>B.8</t>
  </si>
  <si>
    <t>B.8.1</t>
  </si>
  <si>
    <t>B.8.2</t>
  </si>
  <si>
    <t>E.7</t>
  </si>
  <si>
    <t>Poplatky za roční údržbu Databáze</t>
  </si>
  <si>
    <t>E.8</t>
  </si>
  <si>
    <t>Poplatky za roční údržbu Middleware</t>
  </si>
  <si>
    <t xml:space="preserve">Výsledky porovnání on-premise a cloudového řešení pro </t>
  </si>
  <si>
    <t>Připojení do cloudového řešení, KIVS</t>
  </si>
  <si>
    <t>Implementace aplikací</t>
  </si>
  <si>
    <t>Implementace infrastrukturního SW</t>
  </si>
  <si>
    <t>C5</t>
  </si>
  <si>
    <t>Pouze pro informaci</t>
  </si>
  <si>
    <t>Kč/Servery</t>
  </si>
  <si>
    <t>Nárůst diskového úložiště</t>
  </si>
  <si>
    <t>Odhadované hodiny k zajištění potřebné bezpečnostní dokumentace</t>
  </si>
  <si>
    <t>Neuvažujeme žádný další náklad (obsaženy v ceně cloud služby)</t>
  </si>
  <si>
    <t>D.2.6 - obsluha zálohování</t>
  </si>
  <si>
    <t>provazba do výsledku porovnání na počet jednotek v racku zabraných úložištěm</t>
  </si>
  <si>
    <t>provazba do výsledku porovnání na počet disků</t>
  </si>
  <si>
    <t>pouze informace jaký byl použit kurz, v kalkulátoru je uvedeno v Kč</t>
  </si>
  <si>
    <t>Ostatní, do fází životního cyklu nerozlišitelné výdaje</t>
  </si>
  <si>
    <t>Vývojový software</t>
  </si>
  <si>
    <t>B4</t>
  </si>
  <si>
    <t>Poplatky za roční údržbu vývojového SW</t>
  </si>
  <si>
    <t>E9</t>
  </si>
  <si>
    <t>E4</t>
  </si>
  <si>
    <t xml:space="preserve">Provozní režie </t>
  </si>
  <si>
    <t>NA</t>
  </si>
  <si>
    <t>E.9</t>
  </si>
  <si>
    <t>Poplatky za roční údržbu Vývojového software</t>
  </si>
  <si>
    <t>Provoz: Aplikační monitoring</t>
  </si>
  <si>
    <t>Provoz: Administrace aplikací</t>
  </si>
  <si>
    <t>Provoz: Řešení systémových problémů</t>
  </si>
  <si>
    <t>Provoz: Systémový monitoring</t>
  </si>
  <si>
    <t>Provoz: Administrace systému</t>
  </si>
  <si>
    <t>Provoz: Řešení aplikačních problémů</t>
  </si>
  <si>
    <t>Provoz: Řízení změn u systémů</t>
  </si>
  <si>
    <t>Provoz: Řízení změn u aplikací</t>
  </si>
  <si>
    <t>Provoz: Zálohování</t>
  </si>
  <si>
    <t>Provoz: System Service Desk a Incident management</t>
  </si>
  <si>
    <t>Vývoj vlastními silami - přepočteno na Kč</t>
  </si>
  <si>
    <t>Nákup vývoje na míru nebo vývoj vlastními silami</t>
  </si>
  <si>
    <t>slouží pro výběr zobrazení ve výsledku porovnání. ANO - zobrazeno v prvním roce; NE - zobrazeno do délky projektu</t>
  </si>
  <si>
    <t>Tento řádek slouží pro výběr parametru zobrazení ve výsledku porovnání a to pro všechny položky této kapitoly</t>
  </si>
  <si>
    <t>toto pole je navázáno na pole u dat on-premise, tak aby bylo zobrazení ve výsledku porovnání stejné pro obě řešní, zde nelze měnit (změna je povolena u řešení on-premis)</t>
  </si>
  <si>
    <t>Náklady v šedém poli jsou jednorázové na začátku projektu. Lze je však zobrazit i jako rozložené do délky projektu.</t>
  </si>
  <si>
    <t>Náklady v tmavěšedém poli nejsou pro dané řešení relevantní a nekalkulují se.</t>
  </si>
  <si>
    <t>slouží pro výběr zobrazení ve výsledku porovnání. ANO - zobrazeno v prvním roce; NE - zobrazeno do délky projektu, dle tohoto výběru bude stejné zobrazení do výsledku porovnání i pro claudové řešení</t>
  </si>
  <si>
    <t>Veškeré uvedené hodnoty jsou</t>
  </si>
  <si>
    <t>v Kč včetně DPH</t>
  </si>
  <si>
    <t>Veškeré uvedené hodnoty je třeba zadávat dle zvoleného parametru 
("v Kč bez DPH" nebo "v Kč včetně DPH"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</si>
</sst>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 * #,##0_ ;_ * \-#,##0_ ;_ * &quot;-&quot;??_ ;_ @_ "/>
    <numFmt numFmtId="167" formatCode="_ * #,##0.0_ ;_ * \-#,##0.0_ ;_ * &quot;-&quot;??_ ;_ @_ "/>
    <numFmt numFmtId="168" formatCode="_-* #,##0.0\ _K_č_-;\-* #,##0.0\ _K_č_-;_-* &quot;-&quot;?\ _K_č_-;_-@_-"/>
    <numFmt numFmtId="169" formatCode="#,##0\ &quot;Kč&quot;"/>
    <numFmt numFmtId="170" formatCode="#,##0.00_ ;\-#,##0.00\ "/>
    <numFmt numFmtId="171" formatCode="#,##0&quot; MD&quot;"/>
    <numFmt numFmtId="172" formatCode="#,##0.00;\-#,##0.00"/>
    <numFmt numFmtId="173" formatCode="#,##0.0000"/>
    <numFmt numFmtId="174" formatCode="#,##0_ ;\-#,##0\ "/>
  </numFmts>
  <fonts count="60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scheme val="minor"/>
    </font>
    <font>
      <sz val="12"/>
      <name val="Arial CE"/>
      <charset val="238"/>
    </font>
    <font>
      <sz val="10"/>
      <color rgb="FFFF0000"/>
      <name val="Calibri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charset val="238"/>
    </font>
    <font>
      <sz val="10"/>
      <color rgb="FFFF0000"/>
      <name val="Calibri"/>
      <family val="2"/>
    </font>
    <font>
      <b/>
      <sz val="10"/>
      <name val="Calibri"/>
      <family val="2"/>
      <charset val="238"/>
    </font>
    <font>
      <sz val="11"/>
      <name val="Arial"/>
      <family val="2"/>
      <charset val="238"/>
    </font>
    <font>
      <i/>
      <sz val="10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  <charset val="238"/>
    </font>
    <font>
      <sz val="11"/>
      <name val="Calibri"/>
      <family val="2"/>
      <scheme val="minor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double">
        <color theme="2" tint="-0.499984740745262"/>
      </top>
      <bottom style="double">
        <color theme="2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double">
        <color theme="2" tint="-0.499984740745262"/>
      </top>
      <bottom/>
      <diagonal/>
    </border>
    <border>
      <left/>
      <right/>
      <top/>
      <bottom style="double">
        <color theme="2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double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uble">
        <color theme="2" tint="-0.499984740745262"/>
      </bottom>
      <diagonal/>
    </border>
    <border>
      <left/>
      <right/>
      <top style="thin">
        <color theme="2" tint="-0.499984740745262"/>
      </top>
      <bottom style="double">
        <color theme="2" tint="-0.499984740745262"/>
      </bottom>
      <diagonal/>
    </border>
  </borders>
  <cellStyleXfs count="18">
    <xf numFmtId="0" fontId="0" fillId="0" borderId="0"/>
    <xf numFmtId="0" fontId="3" fillId="0" borderId="0"/>
    <xf numFmtId="164" fontId="7" fillId="0" borderId="0" applyFont="0" applyFill="0" applyBorder="0" applyAlignment="0">
      <alignment horizontal="right"/>
      <protection locked="0"/>
    </xf>
    <xf numFmtId="0" fontId="3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526">
    <xf numFmtId="0" fontId="0" fillId="0" borderId="0" xfId="0"/>
    <xf numFmtId="0" fontId="3" fillId="2" borderId="0" xfId="1" applyFont="1" applyFill="1"/>
    <xf numFmtId="0" fontId="5" fillId="2" borderId="0" xfId="1" applyFont="1" applyFill="1"/>
    <xf numFmtId="0" fontId="3" fillId="2" borderId="0" xfId="1" applyFont="1" applyFill="1" applyProtection="1"/>
    <xf numFmtId="0" fontId="11" fillId="6" borderId="1" xfId="1" applyFont="1" applyFill="1" applyBorder="1" applyAlignment="1">
      <alignment vertical="center"/>
    </xf>
    <xf numFmtId="0" fontId="12" fillId="6" borderId="1" xfId="1" applyFont="1" applyFill="1" applyBorder="1" applyAlignment="1">
      <alignment vertical="center"/>
    </xf>
    <xf numFmtId="0" fontId="11" fillId="6" borderId="1" xfId="1" applyFont="1" applyFill="1" applyBorder="1" applyAlignment="1">
      <alignment horizontal="center" vertical="center"/>
    </xf>
    <xf numFmtId="0" fontId="0" fillId="4" borderId="0" xfId="0" applyFill="1"/>
    <xf numFmtId="0" fontId="13" fillId="4" borderId="2" xfId="1" applyFont="1" applyFill="1" applyBorder="1" applyAlignment="1">
      <alignment vertical="center"/>
    </xf>
    <xf numFmtId="3" fontId="13" fillId="4" borderId="2" xfId="1" applyNumberFormat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5" fillId="6" borderId="1" xfId="1" applyFont="1" applyFill="1" applyBorder="1" applyAlignment="1">
      <alignment vertical="center"/>
    </xf>
    <xf numFmtId="0" fontId="13" fillId="4" borderId="0" xfId="1" applyFont="1" applyFill="1" applyBorder="1" applyAlignment="1">
      <alignment vertical="center"/>
    </xf>
    <xf numFmtId="3" fontId="13" fillId="4" borderId="0" xfId="1" applyNumberFormat="1" applyFont="1" applyFill="1" applyBorder="1" applyAlignment="1" applyProtection="1">
      <alignment horizontal="left" vertical="center" wrapText="1"/>
    </xf>
    <xf numFmtId="0" fontId="11" fillId="6" borderId="1" xfId="1" applyFont="1" applyFill="1" applyBorder="1" applyAlignment="1">
      <alignment horizontal="right" vertical="center"/>
    </xf>
    <xf numFmtId="3" fontId="13" fillId="4" borderId="0" xfId="1" applyNumberFormat="1" applyFont="1" applyFill="1" applyBorder="1" applyAlignment="1" applyProtection="1">
      <alignment horizontal="right" vertical="center" wrapText="1"/>
    </xf>
    <xf numFmtId="0" fontId="15" fillId="7" borderId="5" xfId="1" applyFont="1" applyFill="1" applyBorder="1" applyAlignment="1">
      <alignment horizontal="left" vertical="center"/>
    </xf>
    <xf numFmtId="0" fontId="15" fillId="7" borderId="5" xfId="1" applyFont="1" applyFill="1" applyBorder="1" applyAlignment="1">
      <alignment horizontal="right" vertical="center"/>
    </xf>
    <xf numFmtId="0" fontId="6" fillId="2" borderId="7" xfId="1" applyFont="1" applyFill="1" applyBorder="1" applyAlignment="1" applyProtection="1">
      <alignment horizontal="left" vertical="center" wrapText="1"/>
    </xf>
    <xf numFmtId="0" fontId="3" fillId="4" borderId="0" xfId="1" applyFont="1" applyFill="1" applyProtection="1"/>
    <xf numFmtId="0" fontId="5" fillId="4" borderId="0" xfId="1" applyFont="1" applyFill="1" applyBorder="1" applyAlignment="1">
      <alignment vertical="center"/>
    </xf>
    <xf numFmtId="0" fontId="23" fillId="2" borderId="0" xfId="1" applyFont="1" applyFill="1" applyProtection="1"/>
    <xf numFmtId="0" fontId="27" fillId="6" borderId="1" xfId="1" applyFont="1" applyFill="1" applyBorder="1" applyAlignment="1">
      <alignment vertical="center"/>
    </xf>
    <xf numFmtId="0" fontId="28" fillId="6" borderId="1" xfId="1" applyFont="1" applyFill="1" applyBorder="1" applyAlignment="1">
      <alignment vertical="center"/>
    </xf>
    <xf numFmtId="0" fontId="27" fillId="6" borderId="1" xfId="1" applyFont="1" applyFill="1" applyBorder="1" applyAlignment="1">
      <alignment horizontal="center" vertical="center"/>
    </xf>
    <xf numFmtId="0" fontId="27" fillId="6" borderId="0" xfId="1" applyFont="1" applyFill="1" applyBorder="1" applyAlignment="1">
      <alignment vertical="center"/>
    </xf>
    <xf numFmtId="0" fontId="28" fillId="6" borderId="0" xfId="1" applyFont="1" applyFill="1" applyBorder="1" applyAlignment="1">
      <alignment vertical="center"/>
    </xf>
    <xf numFmtId="0" fontId="27" fillId="6" borderId="0" xfId="1" applyFont="1" applyFill="1" applyBorder="1" applyAlignment="1">
      <alignment horizontal="center" vertical="center"/>
    </xf>
    <xf numFmtId="0" fontId="32" fillId="2" borderId="0" xfId="1" applyFont="1" applyFill="1" applyProtection="1"/>
    <xf numFmtId="0" fontId="29" fillId="7" borderId="5" xfId="1" applyFont="1" applyFill="1" applyBorder="1" applyAlignment="1">
      <alignment horizontal="left" vertical="center"/>
    </xf>
    <xf numFmtId="0" fontId="24" fillId="2" borderId="0" xfId="1" applyFont="1" applyFill="1" applyBorder="1" applyAlignment="1" applyProtection="1">
      <alignment horizontal="left" vertical="center" wrapText="1"/>
    </xf>
    <xf numFmtId="0" fontId="29" fillId="6" borderId="1" xfId="1" applyFont="1" applyFill="1" applyBorder="1" applyAlignment="1">
      <alignment vertical="center"/>
    </xf>
    <xf numFmtId="0" fontId="27" fillId="6" borderId="1" xfId="1" applyFont="1" applyFill="1" applyBorder="1" applyAlignment="1">
      <alignment horizontal="right" vertical="center"/>
    </xf>
    <xf numFmtId="0" fontId="35" fillId="4" borderId="0" xfId="1" applyFont="1" applyFill="1" applyBorder="1" applyAlignment="1">
      <alignment vertical="center"/>
    </xf>
    <xf numFmtId="3" fontId="35" fillId="4" borderId="0" xfId="1" applyNumberFormat="1" applyFont="1" applyFill="1" applyBorder="1" applyAlignment="1" applyProtection="1">
      <alignment horizontal="left" vertical="center" wrapText="1"/>
    </xf>
    <xf numFmtId="3" fontId="35" fillId="4" borderId="0" xfId="1" applyNumberFormat="1" applyFont="1" applyFill="1" applyBorder="1" applyAlignment="1" applyProtection="1">
      <alignment horizontal="right" vertical="center" wrapText="1"/>
    </xf>
    <xf numFmtId="0" fontId="26" fillId="4" borderId="0" xfId="1" applyFont="1" applyFill="1" applyBorder="1" applyAlignment="1">
      <alignment vertical="center"/>
    </xf>
    <xf numFmtId="0" fontId="13" fillId="8" borderId="0" xfId="1" applyFont="1" applyFill="1" applyBorder="1" applyAlignment="1">
      <alignment horizontal="left" vertical="center"/>
    </xf>
    <xf numFmtId="0" fontId="13" fillId="8" borderId="0" xfId="1" applyFont="1" applyFill="1" applyBorder="1" applyAlignment="1">
      <alignment horizontal="right" vertical="center"/>
    </xf>
    <xf numFmtId="0" fontId="36" fillId="4" borderId="0" xfId="0" applyFont="1" applyFill="1"/>
    <xf numFmtId="0" fontId="15" fillId="7" borderId="5" xfId="1" applyFont="1" applyFill="1" applyBorder="1" applyAlignment="1">
      <alignment horizontal="center" vertical="center" wrapText="1"/>
    </xf>
    <xf numFmtId="3" fontId="10" fillId="10" borderId="0" xfId="1" applyNumberFormat="1" applyFont="1" applyFill="1" applyAlignment="1">
      <alignment vertical="center"/>
    </xf>
    <xf numFmtId="0" fontId="22" fillId="2" borderId="0" xfId="1" applyFont="1" applyFill="1" applyBorder="1" applyAlignment="1" applyProtection="1">
      <alignment vertical="center"/>
    </xf>
    <xf numFmtId="0" fontId="23" fillId="2" borderId="0" xfId="1" applyFont="1" applyFill="1" applyAlignment="1" applyProtection="1">
      <alignment vertical="center"/>
    </xf>
    <xf numFmtId="0" fontId="24" fillId="2" borderId="0" xfId="1" applyFont="1" applyFill="1" applyAlignment="1" applyProtection="1">
      <alignment vertical="center" wrapText="1"/>
    </xf>
    <xf numFmtId="0" fontId="25" fillId="2" borderId="0" xfId="1" applyFont="1" applyFill="1" applyBorder="1" applyAlignment="1" applyProtection="1">
      <alignment vertical="center"/>
    </xf>
    <xf numFmtId="0" fontId="22" fillId="2" borderId="0" xfId="1" applyFont="1" applyFill="1" applyAlignment="1" applyProtection="1">
      <alignment horizontal="right"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/>
    </xf>
    <xf numFmtId="0" fontId="29" fillId="7" borderId="5" xfId="1" applyFont="1" applyFill="1" applyBorder="1" applyAlignment="1">
      <alignment vertical="center"/>
    </xf>
    <xf numFmtId="0" fontId="26" fillId="4" borderId="0" xfId="1" applyFont="1" applyFill="1" applyBorder="1" applyAlignment="1" applyProtection="1">
      <alignment horizontal="left" vertical="center"/>
    </xf>
    <xf numFmtId="3" fontId="26" fillId="12" borderId="0" xfId="1" applyNumberFormat="1" applyFont="1" applyFill="1" applyBorder="1" applyAlignment="1" applyProtection="1">
      <alignment horizontal="right" vertical="center"/>
    </xf>
    <xf numFmtId="0" fontId="26" fillId="4" borderId="0" xfId="1" applyFont="1" applyFill="1" applyBorder="1" applyAlignment="1" applyProtection="1">
      <alignment horizontal="left" vertical="center" wrapText="1"/>
    </xf>
    <xf numFmtId="0" fontId="29" fillId="7" borderId="0" xfId="1" applyFont="1" applyFill="1" applyBorder="1" applyAlignment="1">
      <alignment vertical="center"/>
    </xf>
    <xf numFmtId="0" fontId="26" fillId="12" borderId="0" xfId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vertical="center" wrapText="1"/>
    </xf>
    <xf numFmtId="3" fontId="26" fillId="5" borderId="0" xfId="4" applyNumberFormat="1" applyFont="1" applyFill="1" applyBorder="1" applyAlignment="1" applyProtection="1">
      <alignment horizontal="right" vertical="center"/>
    </xf>
    <xf numFmtId="3" fontId="26" fillId="4" borderId="0" xfId="1" applyNumberFormat="1" applyFont="1" applyFill="1" applyBorder="1" applyAlignment="1" applyProtection="1">
      <alignment vertical="center" wrapText="1"/>
    </xf>
    <xf numFmtId="3" fontId="26" fillId="2" borderId="0" xfId="1" applyNumberFormat="1" applyFont="1" applyFill="1" applyBorder="1" applyAlignment="1" applyProtection="1">
      <alignment horizontal="left" vertical="center" wrapText="1"/>
    </xf>
    <xf numFmtId="49" fontId="5" fillId="2" borderId="0" xfId="1" applyNumberFormat="1" applyFont="1" applyFill="1" applyBorder="1" applyAlignment="1" applyProtection="1">
      <alignment vertical="center" wrapText="1"/>
    </xf>
    <xf numFmtId="49" fontId="26" fillId="2" borderId="0" xfId="1" applyNumberFormat="1" applyFont="1" applyFill="1" applyBorder="1" applyAlignment="1" applyProtection="1">
      <alignment vertical="center" wrapText="1"/>
    </xf>
    <xf numFmtId="3" fontId="5" fillId="4" borderId="0" xfId="1" applyNumberFormat="1" applyFont="1" applyFill="1" applyBorder="1" applyAlignment="1" applyProtection="1">
      <alignment vertical="center" wrapText="1"/>
    </xf>
    <xf numFmtId="3" fontId="5" fillId="2" borderId="0" xfId="1" applyNumberFormat="1" applyFont="1" applyFill="1" applyBorder="1" applyAlignment="1" applyProtection="1">
      <alignment horizontal="left" vertical="center" wrapText="1"/>
    </xf>
    <xf numFmtId="3" fontId="33" fillId="4" borderId="0" xfId="1" applyNumberFormat="1" applyFont="1" applyFill="1" applyBorder="1" applyAlignment="1">
      <alignment vertical="center"/>
    </xf>
    <xf numFmtId="37" fontId="6" fillId="4" borderId="0" xfId="2" applyNumberFormat="1" applyFont="1" applyFill="1" applyBorder="1" applyAlignment="1">
      <alignment horizontal="left" vertical="center"/>
      <protection locked="0"/>
    </xf>
    <xf numFmtId="37" fontId="24" fillId="4" borderId="0" xfId="2" applyNumberFormat="1" applyFont="1" applyFill="1" applyBorder="1" applyAlignment="1">
      <alignment horizontal="left" vertical="center"/>
      <protection locked="0"/>
    </xf>
    <xf numFmtId="9" fontId="26" fillId="4" borderId="0" xfId="14" applyFont="1" applyFill="1" applyBorder="1" applyAlignment="1" applyProtection="1">
      <alignment horizontal="right" vertical="center"/>
    </xf>
    <xf numFmtId="166" fontId="26" fillId="4" borderId="0" xfId="4" applyNumberFormat="1" applyFont="1" applyFill="1" applyBorder="1" applyAlignment="1" applyProtection="1">
      <alignment horizontal="right" vertical="center"/>
    </xf>
    <xf numFmtId="49" fontId="26" fillId="2" borderId="0" xfId="1" applyNumberFormat="1" applyFont="1" applyFill="1" applyBorder="1" applyAlignment="1" applyProtection="1">
      <alignment horizontal="left" vertical="center" wrapText="1"/>
    </xf>
    <xf numFmtId="3" fontId="33" fillId="4" borderId="0" xfId="1" applyNumberFormat="1" applyFont="1" applyFill="1" applyAlignment="1">
      <alignment vertical="center"/>
    </xf>
    <xf numFmtId="0" fontId="26" fillId="2" borderId="0" xfId="1" applyFont="1" applyFill="1" applyBorder="1" applyAlignment="1" applyProtection="1">
      <alignment vertical="center"/>
    </xf>
    <xf numFmtId="170" fontId="26" fillId="12" borderId="0" xfId="4" applyNumberFormat="1" applyFont="1" applyFill="1" applyBorder="1" applyAlignment="1" applyProtection="1">
      <alignment horizontal="right" vertical="center"/>
    </xf>
    <xf numFmtId="37" fontId="6" fillId="4" borderId="4" xfId="2" applyNumberFormat="1" applyFont="1" applyFill="1" applyBorder="1" applyAlignment="1">
      <alignment horizontal="left" vertical="center"/>
      <protection locked="0"/>
    </xf>
    <xf numFmtId="166" fontId="34" fillId="4" borderId="0" xfId="4" applyNumberFormat="1" applyFont="1" applyFill="1" applyBorder="1" applyAlignment="1" applyProtection="1">
      <alignment horizontal="right" vertical="center"/>
    </xf>
    <xf numFmtId="0" fontId="23" fillId="2" borderId="0" xfId="1" applyFont="1" applyFill="1" applyAlignment="1" applyProtection="1">
      <alignment vertical="center" wrapText="1"/>
    </xf>
    <xf numFmtId="3" fontId="24" fillId="4" borderId="0" xfId="1" applyNumberFormat="1" applyFont="1" applyFill="1" applyAlignment="1">
      <alignment horizontal="left" vertical="center" wrapText="1"/>
    </xf>
    <xf numFmtId="3" fontId="33" fillId="12" borderId="0" xfId="1" applyNumberFormat="1" applyFont="1" applyFill="1" applyAlignment="1">
      <alignment horizontal="center" vertical="center"/>
    </xf>
    <xf numFmtId="2" fontId="33" fillId="4" borderId="0" xfId="1" applyNumberFormat="1" applyFont="1" applyFill="1" applyAlignment="1">
      <alignment vertical="center"/>
    </xf>
    <xf numFmtId="1" fontId="26" fillId="12" borderId="0" xfId="4" applyNumberFormat="1" applyFont="1" applyFill="1" applyBorder="1" applyAlignment="1" applyProtection="1">
      <alignment horizontal="right" vertical="center"/>
    </xf>
    <xf numFmtId="0" fontId="37" fillId="2" borderId="0" xfId="1" applyFont="1" applyFill="1" applyBorder="1" applyAlignment="1" applyProtection="1">
      <alignment horizontal="left" vertical="center"/>
    </xf>
    <xf numFmtId="0" fontId="26" fillId="2" borderId="0" xfId="1" applyFont="1" applyFill="1" applyBorder="1" applyAlignment="1" applyProtection="1">
      <alignment horizontal="right" vertical="center"/>
    </xf>
    <xf numFmtId="0" fontId="23" fillId="2" borderId="0" xfId="1" applyFont="1" applyFill="1" applyBorder="1" applyAlignment="1" applyProtection="1">
      <alignment vertical="center" wrapText="1"/>
    </xf>
    <xf numFmtId="3" fontId="6" fillId="4" borderId="0" xfId="1" applyNumberFormat="1" applyFont="1" applyFill="1" applyAlignment="1">
      <alignment horizontal="left" vertical="center" wrapText="1"/>
    </xf>
    <xf numFmtId="1" fontId="5" fillId="12" borderId="0" xfId="4" applyNumberFormat="1" applyFont="1" applyFill="1" applyBorder="1" applyAlignment="1" applyProtection="1">
      <alignment horizontal="right" vertical="center"/>
    </xf>
    <xf numFmtId="49" fontId="24" fillId="2" borderId="0" xfId="1" applyNumberFormat="1" applyFont="1" applyFill="1" applyAlignment="1" applyProtection="1">
      <alignment vertical="center" wrapText="1"/>
    </xf>
    <xf numFmtId="1" fontId="26" fillId="12" borderId="0" xfId="14" applyNumberFormat="1" applyFont="1" applyFill="1" applyBorder="1" applyAlignment="1" applyProtection="1">
      <alignment horizontal="right" vertical="center"/>
    </xf>
    <xf numFmtId="3" fontId="24" fillId="4" borderId="7" xfId="1" applyNumberFormat="1" applyFont="1" applyFill="1" applyBorder="1" applyAlignment="1">
      <alignment horizontal="left" vertical="center" wrapText="1"/>
    </xf>
    <xf numFmtId="3" fontId="33" fillId="4" borderId="7" xfId="1" applyNumberFormat="1" applyFont="1" applyFill="1" applyBorder="1" applyAlignment="1">
      <alignment vertical="center" wrapText="1"/>
    </xf>
    <xf numFmtId="3" fontId="33" fillId="4" borderId="0" xfId="1" applyNumberFormat="1" applyFont="1" applyFill="1" applyBorder="1" applyAlignment="1">
      <alignment vertical="center" wrapText="1"/>
    </xf>
    <xf numFmtId="167" fontId="26" fillId="4" borderId="0" xfId="4" applyNumberFormat="1" applyFont="1" applyFill="1" applyBorder="1" applyAlignment="1" applyProtection="1">
      <alignment horizontal="right" vertical="center"/>
    </xf>
    <xf numFmtId="3" fontId="33" fillId="4" borderId="10" xfId="1" applyNumberFormat="1" applyFont="1" applyFill="1" applyBorder="1" applyAlignment="1">
      <alignment vertical="center" wrapText="1"/>
    </xf>
    <xf numFmtId="0" fontId="6" fillId="2" borderId="0" xfId="1" applyFont="1" applyFill="1" applyAlignment="1" applyProtection="1">
      <alignment vertical="center" wrapText="1"/>
    </xf>
    <xf numFmtId="3" fontId="10" fillId="4" borderId="0" xfId="1" applyNumberFormat="1" applyFont="1" applyFill="1" applyAlignment="1">
      <alignment vertical="center"/>
    </xf>
    <xf numFmtId="0" fontId="5" fillId="2" borderId="0" xfId="1" applyFont="1" applyFill="1" applyBorder="1" applyAlignment="1" applyProtection="1">
      <alignment vertical="center"/>
    </xf>
    <xf numFmtId="3" fontId="10" fillId="4" borderId="10" xfId="1" applyNumberFormat="1" applyFont="1" applyFill="1" applyBorder="1" applyAlignment="1">
      <alignment vertical="center" wrapText="1"/>
    </xf>
    <xf numFmtId="0" fontId="3" fillId="2" borderId="0" xfId="1" applyFont="1" applyFill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horizontal="right" vertical="center"/>
    </xf>
    <xf numFmtId="0" fontId="15" fillId="7" borderId="5" xfId="1" applyFont="1" applyFill="1" applyBorder="1" applyAlignment="1">
      <alignment vertical="center"/>
    </xf>
    <xf numFmtId="3" fontId="10" fillId="4" borderId="4" xfId="1" applyNumberFormat="1" applyFont="1" applyFill="1" applyBorder="1" applyAlignment="1">
      <alignment vertical="center"/>
    </xf>
    <xf numFmtId="0" fontId="9" fillId="2" borderId="0" xfId="1" applyFont="1" applyFill="1" applyBorder="1" applyAlignment="1" applyProtection="1">
      <alignment vertical="center"/>
    </xf>
    <xf numFmtId="167" fontId="5" fillId="4" borderId="0" xfId="4" applyNumberFormat="1" applyFont="1" applyFill="1" applyBorder="1" applyAlignment="1" applyProtection="1">
      <alignment horizontal="right" vertical="center"/>
    </xf>
    <xf numFmtId="166" fontId="18" fillId="4" borderId="0" xfId="4" applyNumberFormat="1" applyFont="1" applyFill="1" applyBorder="1" applyAlignment="1" applyProtection="1">
      <alignment horizontal="right" vertical="center"/>
    </xf>
    <xf numFmtId="0" fontId="3" fillId="2" borderId="0" xfId="1" applyFont="1" applyFill="1" applyAlignment="1" applyProtection="1">
      <alignment vertical="center" wrapText="1"/>
    </xf>
    <xf numFmtId="3" fontId="10" fillId="4" borderId="11" xfId="1" applyNumberFormat="1" applyFont="1" applyFill="1" applyBorder="1" applyAlignment="1">
      <alignment vertical="center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horizontal="right" vertical="center"/>
    </xf>
    <xf numFmtId="0" fontId="3" fillId="2" borderId="0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vertical="center"/>
    </xf>
    <xf numFmtId="166" fontId="8" fillId="4" borderId="0" xfId="4" applyNumberFormat="1" applyFont="1" applyFill="1" applyBorder="1" applyAlignment="1" applyProtection="1">
      <alignment vertical="center"/>
    </xf>
    <xf numFmtId="0" fontId="3" fillId="2" borderId="0" xfId="1" applyFont="1" applyFill="1" applyAlignment="1" applyProtection="1">
      <alignment horizontal="right" vertical="center"/>
    </xf>
    <xf numFmtId="0" fontId="38" fillId="2" borderId="0" xfId="1" applyFont="1" applyFill="1" applyAlignment="1" applyProtection="1">
      <alignment vertical="center"/>
    </xf>
    <xf numFmtId="0" fontId="38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16" fillId="2" borderId="13" xfId="1" applyFont="1" applyFill="1" applyBorder="1" applyAlignment="1" applyProtection="1">
      <alignment vertical="center"/>
    </xf>
    <xf numFmtId="0" fontId="16" fillId="2" borderId="12" xfId="1" applyFont="1" applyFill="1" applyBorder="1" applyAlignment="1" applyProtection="1">
      <alignment horizontal="center" vertical="center"/>
    </xf>
    <xf numFmtId="0" fontId="16" fillId="2" borderId="15" xfId="1" applyFont="1" applyFill="1" applyBorder="1" applyAlignment="1" applyProtection="1">
      <alignment horizontal="center" vertical="center"/>
    </xf>
    <xf numFmtId="0" fontId="39" fillId="2" borderId="0" xfId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horizontal="center" vertical="center"/>
    </xf>
    <xf numFmtId="0" fontId="16" fillId="2" borderId="0" xfId="1" applyFont="1" applyFill="1" applyAlignment="1" applyProtection="1">
      <alignment vertical="center"/>
    </xf>
    <xf numFmtId="0" fontId="39" fillId="14" borderId="13" xfId="1" applyFont="1" applyFill="1" applyBorder="1" applyAlignment="1" applyProtection="1">
      <alignment vertical="center"/>
    </xf>
    <xf numFmtId="0" fontId="39" fillId="14" borderId="12" xfId="1" applyFont="1" applyFill="1" applyBorder="1" applyAlignment="1" applyProtection="1">
      <alignment horizontal="center" vertical="center"/>
    </xf>
    <xf numFmtId="0" fontId="16" fillId="7" borderId="13" xfId="1" applyFont="1" applyFill="1" applyBorder="1" applyAlignment="1" applyProtection="1">
      <alignment vertical="center"/>
    </xf>
    <xf numFmtId="0" fontId="39" fillId="7" borderId="13" xfId="1" applyFont="1" applyFill="1" applyBorder="1" applyAlignment="1" applyProtection="1">
      <alignment vertical="center"/>
    </xf>
    <xf numFmtId="0" fontId="39" fillId="7" borderId="12" xfId="1" applyFont="1" applyFill="1" applyBorder="1" applyAlignment="1" applyProtection="1">
      <alignment horizontal="center" vertical="center"/>
    </xf>
    <xf numFmtId="0" fontId="39" fillId="4" borderId="13" xfId="1" applyFont="1" applyFill="1" applyBorder="1" applyAlignment="1" applyProtection="1">
      <alignment vertical="center"/>
    </xf>
    <xf numFmtId="0" fontId="39" fillId="4" borderId="13" xfId="1" applyFont="1" applyFill="1" applyBorder="1" applyAlignment="1" applyProtection="1">
      <alignment horizontal="center" vertical="center"/>
    </xf>
    <xf numFmtId="0" fontId="39" fillId="4" borderId="14" xfId="1" applyFont="1" applyFill="1" applyBorder="1" applyAlignment="1" applyProtection="1">
      <alignment horizontal="center" vertical="center"/>
    </xf>
    <xf numFmtId="0" fontId="39" fillId="4" borderId="15" xfId="1" applyFont="1" applyFill="1" applyBorder="1" applyAlignment="1" applyProtection="1">
      <alignment horizontal="center" vertical="center"/>
    </xf>
    <xf numFmtId="0" fontId="38" fillId="4" borderId="0" xfId="1" applyFont="1" applyFill="1" applyAlignment="1" applyProtection="1">
      <alignment vertical="center"/>
    </xf>
    <xf numFmtId="0" fontId="38" fillId="4" borderId="0" xfId="1" applyFont="1" applyFill="1" applyProtection="1"/>
    <xf numFmtId="0" fontId="5" fillId="4" borderId="0" xfId="1" applyFont="1" applyFill="1" applyBorder="1" applyAlignment="1" applyProtection="1">
      <alignment horizontal="left" vertical="center"/>
    </xf>
    <xf numFmtId="0" fontId="5" fillId="2" borderId="0" xfId="1" applyFont="1" applyFill="1" applyBorder="1" applyAlignment="1" applyProtection="1">
      <alignment horizontal="left" vertical="center"/>
    </xf>
    <xf numFmtId="3" fontId="10" fillId="4" borderId="0" xfId="1" applyNumberFormat="1" applyFont="1" applyFill="1" applyBorder="1" applyAlignment="1">
      <alignment vertical="center"/>
    </xf>
    <xf numFmtId="49" fontId="6" fillId="12" borderId="0" xfId="2" applyNumberFormat="1" applyFont="1" applyFill="1" applyBorder="1" applyAlignment="1">
      <alignment horizontal="center" vertical="center"/>
      <protection locked="0"/>
    </xf>
    <xf numFmtId="0" fontId="40" fillId="7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 applyProtection="1">
      <alignment vertical="center" wrapText="1"/>
    </xf>
    <xf numFmtId="0" fontId="3" fillId="4" borderId="0" xfId="1" applyFont="1" applyFill="1" applyAlignment="1" applyProtection="1">
      <alignment vertical="center"/>
    </xf>
    <xf numFmtId="0" fontId="23" fillId="4" borderId="0" xfId="1" applyFont="1" applyFill="1" applyProtection="1"/>
    <xf numFmtId="0" fontId="1" fillId="2" borderId="0" xfId="1" applyFont="1" applyFill="1" applyProtection="1"/>
    <xf numFmtId="3" fontId="33" fillId="4" borderId="0" xfId="1" applyNumberFormat="1" applyFont="1" applyFill="1" applyAlignment="1">
      <alignment horizontal="center" vertical="center"/>
    </xf>
    <xf numFmtId="0" fontId="3" fillId="2" borderId="0" xfId="1" applyFont="1" applyFill="1" applyBorder="1" applyAlignment="1" applyProtection="1">
      <alignment vertical="center"/>
    </xf>
    <xf numFmtId="2" fontId="10" fillId="4" borderId="0" xfId="1" applyNumberFormat="1" applyFont="1" applyFill="1" applyAlignment="1">
      <alignment vertical="center"/>
    </xf>
    <xf numFmtId="3" fontId="10" fillId="4" borderId="0" xfId="1" applyNumberFormat="1" applyFont="1" applyFill="1" applyAlignment="1">
      <alignment horizontal="center" vertical="center"/>
    </xf>
    <xf numFmtId="3" fontId="16" fillId="2" borderId="12" xfId="1" applyNumberFormat="1" applyFont="1" applyFill="1" applyBorder="1" applyAlignment="1" applyProtection="1">
      <alignment horizontal="center" vertical="center"/>
    </xf>
    <xf numFmtId="43" fontId="3" fillId="2" borderId="0" xfId="1" applyNumberFormat="1" applyFont="1" applyFill="1" applyProtection="1"/>
    <xf numFmtId="1" fontId="3" fillId="2" borderId="0" xfId="1" applyNumberFormat="1" applyFont="1" applyFill="1" applyProtection="1"/>
    <xf numFmtId="169" fontId="3" fillId="2" borderId="0" xfId="1" applyNumberFormat="1" applyFont="1" applyFill="1" applyProtection="1"/>
    <xf numFmtId="0" fontId="43" fillId="4" borderId="0" xfId="0" applyFont="1" applyFill="1"/>
    <xf numFmtId="0" fontId="15" fillId="6" borderId="1" xfId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vertical="center"/>
    </xf>
    <xf numFmtId="0" fontId="15" fillId="6" borderId="1" xfId="1" applyFont="1" applyFill="1" applyBorder="1" applyAlignment="1">
      <alignment horizontal="right" vertical="center"/>
    </xf>
    <xf numFmtId="0" fontId="20" fillId="10" borderId="0" xfId="1" applyFont="1" applyFill="1" applyBorder="1" applyAlignment="1" applyProtection="1">
      <alignment horizontal="left" vertical="center" wrapText="1"/>
    </xf>
    <xf numFmtId="3" fontId="10" fillId="10" borderId="0" xfId="1" applyNumberFormat="1" applyFont="1" applyFill="1" applyAlignment="1">
      <alignment horizontal="left" vertical="center" wrapText="1"/>
    </xf>
    <xf numFmtId="3" fontId="20" fillId="10" borderId="0" xfId="4" applyNumberFormat="1" applyFont="1" applyFill="1" applyBorder="1" applyAlignment="1" applyProtection="1">
      <alignment horizontal="right" vertical="center"/>
      <protection locked="0"/>
    </xf>
    <xf numFmtId="0" fontId="44" fillId="4" borderId="0" xfId="0" applyFont="1" applyFill="1"/>
    <xf numFmtId="0" fontId="45" fillId="4" borderId="0" xfId="0" applyFont="1" applyFill="1"/>
    <xf numFmtId="0" fontId="20" fillId="4" borderId="0" xfId="0" applyFont="1" applyFill="1"/>
    <xf numFmtId="49" fontId="6" fillId="12" borderId="0" xfId="2" applyNumberFormat="1" applyFont="1" applyFill="1" applyBorder="1" applyAlignment="1">
      <alignment horizontal="center" vertical="center"/>
      <protection locked="0"/>
    </xf>
    <xf numFmtId="0" fontId="30" fillId="4" borderId="0" xfId="0" applyFont="1" applyFill="1" applyAlignment="1">
      <alignment vertical="center" wrapText="1"/>
    </xf>
    <xf numFmtId="37" fontId="6" fillId="4" borderId="0" xfId="2" applyNumberFormat="1" applyFont="1" applyFill="1" applyBorder="1" applyAlignment="1">
      <alignment vertical="center" wrapText="1"/>
      <protection locked="0"/>
    </xf>
    <xf numFmtId="3" fontId="20" fillId="4" borderId="0" xfId="1" applyNumberFormat="1" applyFont="1" applyFill="1" applyAlignment="1">
      <alignment vertical="center"/>
    </xf>
    <xf numFmtId="0" fontId="39" fillId="14" borderId="15" xfId="1" applyFont="1" applyFill="1" applyBorder="1" applyAlignment="1" applyProtection="1">
      <alignment horizontal="center" vertical="center"/>
    </xf>
    <xf numFmtId="0" fontId="39" fillId="7" borderId="15" xfId="1" applyFont="1" applyFill="1" applyBorder="1" applyAlignment="1" applyProtection="1">
      <alignment horizontal="center" vertical="center"/>
    </xf>
    <xf numFmtId="0" fontId="29" fillId="7" borderId="5" xfId="1" applyFont="1" applyFill="1" applyBorder="1" applyAlignment="1">
      <alignment horizontal="center" vertical="center"/>
    </xf>
    <xf numFmtId="0" fontId="29" fillId="7" borderId="0" xfId="1" applyFont="1" applyFill="1" applyBorder="1" applyAlignment="1">
      <alignment horizontal="center" vertical="center"/>
    </xf>
    <xf numFmtId="0" fontId="15" fillId="7" borderId="5" xfId="1" applyFont="1" applyFill="1" applyBorder="1" applyAlignment="1">
      <alignment horizontal="center" vertical="center"/>
    </xf>
    <xf numFmtId="0" fontId="42" fillId="2" borderId="0" xfId="1" applyFont="1" applyFill="1" applyBorder="1" applyAlignment="1">
      <alignment vertical="center"/>
    </xf>
    <xf numFmtId="0" fontId="43" fillId="4" borderId="0" xfId="0" applyFont="1" applyFill="1" applyAlignment="1">
      <alignment vertical="center"/>
    </xf>
    <xf numFmtId="37" fontId="10" fillId="4" borderId="0" xfId="2" applyNumberFormat="1" applyFont="1" applyFill="1" applyBorder="1" applyAlignment="1">
      <alignment horizontal="left" vertical="center"/>
      <protection locked="0"/>
    </xf>
    <xf numFmtId="3" fontId="10" fillId="4" borderId="0" xfId="2" applyNumberFormat="1" applyFont="1" applyFill="1" applyBorder="1" applyAlignment="1">
      <alignment horizontal="right" vertical="center"/>
      <protection locked="0"/>
    </xf>
    <xf numFmtId="37" fontId="10" fillId="4" borderId="0" xfId="2" applyNumberFormat="1" applyFont="1" applyFill="1" applyBorder="1" applyAlignment="1">
      <alignment vertical="center"/>
      <protection locked="0"/>
    </xf>
    <xf numFmtId="0" fontId="14" fillId="7" borderId="3" xfId="1" applyFont="1" applyFill="1" applyBorder="1" applyAlignment="1">
      <alignment vertical="center"/>
    </xf>
    <xf numFmtId="37" fontId="15" fillId="7" borderId="3" xfId="1" applyNumberFormat="1" applyFont="1" applyFill="1" applyBorder="1" applyAlignment="1">
      <alignment horizontal="left" vertical="center"/>
    </xf>
    <xf numFmtId="3" fontId="10" fillId="7" borderId="0" xfId="2" applyNumberFormat="1" applyFont="1" applyFill="1" applyBorder="1" applyAlignment="1">
      <alignment horizontal="right" vertical="center"/>
      <protection locked="0"/>
    </xf>
    <xf numFmtId="37" fontId="15" fillId="7" borderId="0" xfId="1" applyNumberFormat="1" applyFont="1" applyFill="1" applyBorder="1" applyAlignment="1">
      <alignment vertical="center"/>
    </xf>
    <xf numFmtId="0" fontId="14" fillId="7" borderId="0" xfId="1" applyFont="1" applyFill="1" applyBorder="1" applyAlignment="1">
      <alignment vertical="center"/>
    </xf>
    <xf numFmtId="37" fontId="15" fillId="7" borderId="0" xfId="1" applyNumberFormat="1" applyFont="1" applyFill="1" applyBorder="1" applyAlignment="1">
      <alignment horizontal="left" vertical="center"/>
    </xf>
    <xf numFmtId="37" fontId="10" fillId="4" borderId="0" xfId="2" applyNumberFormat="1" applyFont="1" applyFill="1" applyAlignment="1">
      <alignment horizontal="left" vertical="center"/>
      <protection locked="0"/>
    </xf>
    <xf numFmtId="3" fontId="10" fillId="11" borderId="0" xfId="2" applyNumberFormat="1" applyFont="1" applyFill="1" applyBorder="1" applyAlignment="1">
      <alignment horizontal="right" vertical="center"/>
      <protection locked="0"/>
    </xf>
    <xf numFmtId="1" fontId="10" fillId="4" borderId="0" xfId="1" applyNumberFormat="1" applyFont="1" applyFill="1" applyAlignment="1">
      <alignment vertical="center"/>
    </xf>
    <xf numFmtId="3" fontId="20" fillId="11" borderId="0" xfId="4" applyNumberFormat="1" applyFont="1" applyFill="1" applyBorder="1" applyAlignment="1" applyProtection="1">
      <alignment horizontal="right" vertical="center"/>
    </xf>
    <xf numFmtId="37" fontId="10" fillId="4" borderId="4" xfId="2" applyNumberFormat="1" applyFont="1" applyFill="1" applyBorder="1" applyAlignment="1">
      <alignment horizontal="left" vertical="center"/>
      <protection locked="0"/>
    </xf>
    <xf numFmtId="3" fontId="10" fillId="4" borderId="4" xfId="2" applyNumberFormat="1" applyFont="1" applyFill="1" applyBorder="1" applyAlignment="1">
      <alignment horizontal="right" vertical="center"/>
      <protection locked="0"/>
    </xf>
    <xf numFmtId="169" fontId="20" fillId="5" borderId="0" xfId="4" applyNumberFormat="1" applyFont="1" applyFill="1" applyBorder="1" applyAlignment="1" applyProtection="1">
      <alignment horizontal="right" vertical="center"/>
    </xf>
    <xf numFmtId="169" fontId="20" fillId="10" borderId="0" xfId="4" applyNumberFormat="1" applyFont="1" applyFill="1" applyBorder="1" applyAlignment="1" applyProtection="1">
      <alignment horizontal="right" vertical="center"/>
      <protection locked="0"/>
    </xf>
    <xf numFmtId="0" fontId="13" fillId="8" borderId="0" xfId="1" applyFont="1" applyFill="1" applyBorder="1" applyAlignment="1">
      <alignment vertical="center"/>
    </xf>
    <xf numFmtId="169" fontId="20" fillId="5" borderId="0" xfId="4" applyNumberFormat="1" applyFont="1" applyFill="1" applyBorder="1" applyAlignment="1" applyProtection="1">
      <alignment horizontal="right" vertical="center"/>
      <protection locked="0"/>
    </xf>
    <xf numFmtId="169" fontId="20" fillId="11" borderId="0" xfId="4" applyNumberFormat="1" applyFont="1" applyFill="1" applyBorder="1" applyAlignment="1" applyProtection="1">
      <alignment horizontal="right" vertical="center"/>
      <protection locked="0"/>
    </xf>
    <xf numFmtId="3" fontId="10" fillId="10" borderId="0" xfId="2" applyNumberFormat="1" applyFont="1" applyFill="1" applyBorder="1" applyAlignment="1">
      <alignment vertical="center"/>
      <protection locked="0"/>
    </xf>
    <xf numFmtId="0" fontId="32" fillId="2" borderId="0" xfId="1" applyFont="1" applyFill="1" applyAlignment="1" applyProtection="1">
      <alignment vertical="center"/>
    </xf>
    <xf numFmtId="166" fontId="32" fillId="2" borderId="0" xfId="1" applyNumberFormat="1" applyFont="1" applyFill="1" applyAlignment="1" applyProtection="1">
      <alignment vertical="center"/>
    </xf>
    <xf numFmtId="168" fontId="23" fillId="2" borderId="0" xfId="1" applyNumberFormat="1" applyFont="1" applyFill="1" applyAlignment="1" applyProtection="1">
      <alignment vertical="center"/>
    </xf>
    <xf numFmtId="37" fontId="6" fillId="2" borderId="0" xfId="2" applyNumberFormat="1" applyFont="1" applyFill="1" applyAlignment="1">
      <alignment horizontal="right" vertical="center"/>
      <protection locked="0"/>
    </xf>
    <xf numFmtId="3" fontId="10" fillId="2" borderId="0" xfId="1" applyNumberFormat="1" applyFont="1" applyFill="1" applyAlignment="1">
      <alignment vertical="center"/>
    </xf>
    <xf numFmtId="0" fontId="1" fillId="2" borderId="0" xfId="1" applyFont="1" applyFill="1" applyAlignment="1" applyProtection="1">
      <alignment vertical="center"/>
    </xf>
    <xf numFmtId="0" fontId="12" fillId="6" borderId="17" xfId="1" applyFont="1" applyFill="1" applyBorder="1" applyAlignment="1">
      <alignment vertical="center"/>
    </xf>
    <xf numFmtId="0" fontId="48" fillId="6" borderId="1" xfId="1" applyFont="1" applyFill="1" applyBorder="1" applyAlignment="1">
      <alignment horizontal="left" vertical="center" wrapText="1"/>
    </xf>
    <xf numFmtId="0" fontId="48" fillId="6" borderId="1" xfId="1" applyFont="1" applyFill="1" applyBorder="1" applyAlignment="1">
      <alignment vertical="center"/>
    </xf>
    <xf numFmtId="0" fontId="48" fillId="6" borderId="1" xfId="1" applyFont="1" applyFill="1" applyBorder="1" applyAlignment="1">
      <alignment horizontal="center" vertical="center"/>
    </xf>
    <xf numFmtId="0" fontId="50" fillId="9" borderId="2" xfId="1" applyFont="1" applyFill="1" applyBorder="1" applyAlignment="1">
      <alignment vertical="center"/>
    </xf>
    <xf numFmtId="3" fontId="50" fillId="9" borderId="2" xfId="1" applyNumberFormat="1" applyFont="1" applyFill="1" applyBorder="1" applyAlignment="1">
      <alignment vertical="center"/>
    </xf>
    <xf numFmtId="37" fontId="50" fillId="9" borderId="2" xfId="1" applyNumberFormat="1" applyFont="1" applyFill="1" applyBorder="1" applyAlignment="1">
      <alignment vertical="center"/>
    </xf>
    <xf numFmtId="0" fontId="50" fillId="2" borderId="0" xfId="1" applyFont="1" applyFill="1" applyBorder="1" applyAlignment="1">
      <alignment vertical="center"/>
    </xf>
    <xf numFmtId="3" fontId="50" fillId="2" borderId="0" xfId="1" applyNumberFormat="1" applyFont="1" applyFill="1" applyBorder="1" applyAlignment="1">
      <alignment vertical="center"/>
    </xf>
    <xf numFmtId="37" fontId="50" fillId="2" borderId="0" xfId="1" applyNumberFormat="1" applyFont="1" applyFill="1" applyBorder="1" applyAlignment="1">
      <alignment vertical="center"/>
    </xf>
    <xf numFmtId="0" fontId="50" fillId="4" borderId="8" xfId="1" applyFont="1" applyFill="1" applyBorder="1" applyAlignment="1">
      <alignment vertical="center"/>
    </xf>
    <xf numFmtId="3" fontId="50" fillId="4" borderId="8" xfId="1" applyNumberFormat="1" applyFont="1" applyFill="1" applyBorder="1" applyAlignment="1">
      <alignment vertical="center"/>
    </xf>
    <xf numFmtId="37" fontId="50" fillId="4" borderId="8" xfId="1" applyNumberFormat="1" applyFont="1" applyFill="1" applyBorder="1" applyAlignment="1">
      <alignment vertical="center"/>
    </xf>
    <xf numFmtId="0" fontId="48" fillId="6" borderId="1" xfId="1" applyFont="1" applyFill="1" applyBorder="1" applyAlignment="1">
      <alignment horizontal="center" vertical="center" wrapText="1"/>
    </xf>
    <xf numFmtId="0" fontId="48" fillId="6" borderId="17" xfId="1" applyFont="1" applyFill="1" applyBorder="1" applyAlignment="1">
      <alignment vertical="center"/>
    </xf>
    <xf numFmtId="0" fontId="48" fillId="6" borderId="17" xfId="1" applyFont="1" applyFill="1" applyBorder="1" applyAlignment="1">
      <alignment horizontal="center" vertical="center"/>
    </xf>
    <xf numFmtId="3" fontId="51" fillId="4" borderId="0" xfId="1" applyNumberFormat="1" applyFont="1" applyFill="1" applyAlignment="1">
      <alignment horizontal="left" vertical="center" wrapText="1"/>
    </xf>
    <xf numFmtId="0" fontId="50" fillId="4" borderId="2" xfId="1" applyFont="1" applyFill="1" applyBorder="1" applyAlignment="1">
      <alignment vertical="center"/>
    </xf>
    <xf numFmtId="3" fontId="50" fillId="4" borderId="2" xfId="1" applyNumberFormat="1" applyFont="1" applyFill="1" applyBorder="1" applyAlignment="1" applyProtection="1">
      <alignment horizontal="left" vertical="center" wrapText="1"/>
    </xf>
    <xf numFmtId="37" fontId="50" fillId="4" borderId="2" xfId="1" applyNumberFormat="1" applyFont="1" applyFill="1" applyBorder="1" applyAlignment="1">
      <alignment horizontal="right" vertical="center"/>
    </xf>
    <xf numFmtId="0" fontId="49" fillId="4" borderId="8" xfId="1" applyFont="1" applyFill="1" applyBorder="1" applyAlignment="1">
      <alignment vertical="center"/>
    </xf>
    <xf numFmtId="3" fontId="49" fillId="4" borderId="8" xfId="1" applyNumberFormat="1" applyFont="1" applyFill="1" applyBorder="1" applyAlignment="1" applyProtection="1">
      <alignment horizontal="left" vertical="center" wrapText="1"/>
    </xf>
    <xf numFmtId="37" fontId="49" fillId="4" borderId="8" xfId="1" applyNumberFormat="1" applyFont="1" applyFill="1" applyBorder="1" applyAlignment="1">
      <alignment vertical="center"/>
    </xf>
    <xf numFmtId="0" fontId="49" fillId="4" borderId="9" xfId="1" applyFont="1" applyFill="1" applyBorder="1" applyAlignment="1">
      <alignment vertical="center"/>
    </xf>
    <xf numFmtId="3" fontId="49" fillId="4" borderId="9" xfId="1" applyNumberFormat="1" applyFont="1" applyFill="1" applyBorder="1" applyAlignment="1" applyProtection="1">
      <alignment horizontal="left" vertical="center" wrapText="1"/>
    </xf>
    <xf numFmtId="37" fontId="49" fillId="4" borderId="9" xfId="1" applyNumberFormat="1" applyFont="1" applyFill="1" applyBorder="1" applyAlignment="1">
      <alignment vertical="center"/>
    </xf>
    <xf numFmtId="37" fontId="50" fillId="4" borderId="9" xfId="1" applyNumberFormat="1" applyFont="1" applyFill="1" applyBorder="1" applyAlignment="1">
      <alignment vertical="center"/>
    </xf>
    <xf numFmtId="0" fontId="49" fillId="4" borderId="0" xfId="1" applyFont="1" applyFill="1" applyBorder="1" applyAlignment="1">
      <alignment vertical="center"/>
    </xf>
    <xf numFmtId="3" fontId="49" fillId="4" borderId="0" xfId="1" applyNumberFormat="1" applyFont="1" applyFill="1" applyBorder="1" applyAlignment="1" applyProtection="1">
      <alignment horizontal="left" vertical="center" wrapText="1"/>
    </xf>
    <xf numFmtId="37" fontId="49" fillId="4" borderId="0" xfId="1" applyNumberFormat="1" applyFont="1" applyFill="1" applyBorder="1" applyAlignment="1">
      <alignment vertical="center"/>
    </xf>
    <xf numFmtId="37" fontId="50" fillId="4" borderId="0" xfId="1" applyNumberFormat="1" applyFont="1" applyFill="1" applyBorder="1" applyAlignment="1">
      <alignment vertical="center"/>
    </xf>
    <xf numFmtId="37" fontId="50" fillId="4" borderId="2" xfId="1" applyNumberFormat="1" applyFont="1" applyFill="1" applyBorder="1" applyAlignment="1">
      <alignment vertical="center"/>
    </xf>
    <xf numFmtId="0" fontId="5" fillId="4" borderId="0" xfId="1" applyFont="1" applyFill="1" applyBorder="1" applyAlignment="1" applyProtection="1">
      <alignment vertical="center" wrapText="1"/>
    </xf>
    <xf numFmtId="0" fontId="23" fillId="2" borderId="0" xfId="1" applyFont="1" applyFill="1" applyBorder="1" applyProtection="1"/>
    <xf numFmtId="0" fontId="23" fillId="2" borderId="0" xfId="1" applyFont="1" applyFill="1" applyBorder="1" applyAlignment="1" applyProtection="1">
      <alignment vertical="center"/>
    </xf>
    <xf numFmtId="0" fontId="27" fillId="6" borderId="1" xfId="1" applyFont="1" applyFill="1" applyBorder="1" applyAlignment="1">
      <alignment horizontal="center" vertical="center" wrapText="1"/>
    </xf>
    <xf numFmtId="0" fontId="29" fillId="7" borderId="5" xfId="1" applyFont="1" applyFill="1" applyBorder="1" applyAlignment="1">
      <alignment vertical="center" wrapText="1"/>
    </xf>
    <xf numFmtId="0" fontId="30" fillId="4" borderId="0" xfId="0" applyFont="1" applyFill="1" applyBorder="1" applyAlignment="1">
      <alignment vertical="center" wrapText="1"/>
    </xf>
    <xf numFmtId="0" fontId="27" fillId="6" borderId="0" xfId="1" applyFont="1" applyFill="1" applyBorder="1" applyAlignment="1">
      <alignment horizontal="center" vertical="center" wrapText="1"/>
    </xf>
    <xf numFmtId="0" fontId="29" fillId="7" borderId="0" xfId="1" applyFont="1" applyFill="1" applyBorder="1" applyAlignment="1">
      <alignment vertical="center" wrapText="1"/>
    </xf>
    <xf numFmtId="0" fontId="6" fillId="2" borderId="0" xfId="1" applyFont="1" applyFill="1" applyBorder="1" applyAlignment="1" applyProtection="1">
      <alignment vertical="center" wrapText="1"/>
    </xf>
    <xf numFmtId="37" fontId="24" fillId="4" borderId="0" xfId="2" applyNumberFormat="1" applyFont="1" applyFill="1" applyBorder="1" applyAlignment="1">
      <alignment vertical="center" wrapText="1"/>
      <protection locked="0"/>
    </xf>
    <xf numFmtId="37" fontId="31" fillId="4" borderId="0" xfId="2" applyNumberFormat="1" applyFont="1" applyFill="1" applyBorder="1" applyAlignment="1">
      <alignment vertical="center" wrapText="1"/>
      <protection locked="0"/>
    </xf>
    <xf numFmtId="37" fontId="34" fillId="4" borderId="0" xfId="2" applyNumberFormat="1" applyFont="1" applyFill="1" applyBorder="1" applyAlignment="1">
      <alignment vertical="center" wrapText="1"/>
      <protection locked="0"/>
    </xf>
    <xf numFmtId="0" fontId="29" fillId="7" borderId="5" xfId="1" applyFont="1" applyFill="1" applyBorder="1" applyAlignment="1">
      <alignment horizontal="left" vertical="center" wrapText="1"/>
    </xf>
    <xf numFmtId="173" fontId="10" fillId="11" borderId="0" xfId="2" applyNumberFormat="1" applyFont="1" applyFill="1" applyBorder="1" applyAlignment="1">
      <alignment horizontal="right" vertical="center"/>
      <protection locked="0"/>
    </xf>
    <xf numFmtId="3" fontId="10" fillId="4" borderId="0" xfId="1" applyNumberFormat="1" applyFont="1" applyFill="1" applyAlignment="1">
      <alignment horizontal="left" vertical="center" wrapText="1"/>
    </xf>
    <xf numFmtId="3" fontId="20" fillId="4" borderId="0" xfId="4" applyNumberFormat="1" applyFont="1" applyFill="1" applyBorder="1" applyAlignment="1" applyProtection="1">
      <alignment horizontal="right" vertical="center"/>
      <protection locked="0"/>
    </xf>
    <xf numFmtId="169" fontId="20" fillId="4" borderId="0" xfId="4" applyNumberFormat="1" applyFont="1" applyFill="1" applyBorder="1" applyAlignment="1" applyProtection="1">
      <alignment horizontal="right" vertical="center"/>
    </xf>
    <xf numFmtId="3" fontId="10" fillId="4" borderId="0" xfId="2" applyNumberFormat="1" applyFont="1" applyFill="1" applyBorder="1" applyAlignment="1">
      <alignment vertical="center"/>
      <protection locked="0"/>
    </xf>
    <xf numFmtId="3" fontId="10" fillId="4" borderId="6" xfId="2" applyNumberFormat="1" applyFont="1" applyFill="1" applyBorder="1" applyAlignment="1">
      <alignment horizontal="right" vertical="center"/>
      <protection locked="0"/>
    </xf>
    <xf numFmtId="173" fontId="10" fillId="11" borderId="6" xfId="2" applyNumberFormat="1" applyFont="1" applyFill="1" applyBorder="1" applyAlignment="1">
      <alignment horizontal="right" vertical="center"/>
      <protection locked="0"/>
    </xf>
    <xf numFmtId="0" fontId="20" fillId="4" borderId="0" xfId="1" applyFont="1" applyFill="1" applyBorder="1" applyAlignment="1" applyProtection="1">
      <alignment horizontal="left" vertical="center" wrapText="1"/>
    </xf>
    <xf numFmtId="3" fontId="10" fillId="10" borderId="18" xfId="1" applyNumberFormat="1" applyFont="1" applyFill="1" applyBorder="1" applyAlignment="1">
      <alignment horizontal="left" vertical="center" wrapText="1"/>
    </xf>
    <xf numFmtId="3" fontId="10" fillId="10" borderId="18" xfId="1" applyNumberFormat="1" applyFont="1" applyFill="1" applyBorder="1" applyAlignment="1">
      <alignment vertical="center"/>
    </xf>
    <xf numFmtId="169" fontId="20" fillId="5" borderId="18" xfId="4" applyNumberFormat="1" applyFont="1" applyFill="1" applyBorder="1" applyAlignment="1" applyProtection="1">
      <alignment horizontal="right" vertical="center"/>
    </xf>
    <xf numFmtId="3" fontId="20" fillId="10" borderId="18" xfId="4" applyNumberFormat="1" applyFont="1" applyFill="1" applyBorder="1" applyAlignment="1" applyProtection="1">
      <alignment horizontal="right" vertical="center"/>
      <protection locked="0"/>
    </xf>
    <xf numFmtId="3" fontId="10" fillId="10" borderId="18" xfId="2" applyNumberFormat="1" applyFont="1" applyFill="1" applyBorder="1" applyAlignment="1">
      <alignment vertical="center"/>
      <protection locked="0"/>
    </xf>
    <xf numFmtId="1" fontId="20" fillId="11" borderId="18" xfId="4" applyNumberFormat="1" applyFont="1" applyFill="1" applyBorder="1" applyAlignment="1" applyProtection="1">
      <alignment horizontal="right" vertical="center"/>
      <protection locked="0"/>
    </xf>
    <xf numFmtId="0" fontId="20" fillId="10" borderId="18" xfId="1" applyFont="1" applyFill="1" applyBorder="1" applyAlignment="1" applyProtection="1">
      <alignment horizontal="left" vertical="center" wrapText="1"/>
    </xf>
    <xf numFmtId="169" fontId="20" fillId="11" borderId="11" xfId="4" applyNumberFormat="1" applyFont="1" applyFill="1" applyBorder="1" applyAlignment="1" applyProtection="1">
      <alignment horizontal="right" vertical="center"/>
      <protection locked="0"/>
    </xf>
    <xf numFmtId="169" fontId="20" fillId="10" borderId="18" xfId="4" applyNumberFormat="1" applyFont="1" applyFill="1" applyBorder="1" applyAlignment="1" applyProtection="1">
      <alignment horizontal="right" vertical="center"/>
      <protection locked="0"/>
    </xf>
    <xf numFmtId="3" fontId="10" fillId="4" borderId="19" xfId="1" applyNumberFormat="1" applyFont="1" applyFill="1" applyBorder="1" applyAlignment="1">
      <alignment vertical="center"/>
    </xf>
    <xf numFmtId="37" fontId="6" fillId="4" borderId="19" xfId="2" applyNumberFormat="1" applyFont="1" applyFill="1" applyBorder="1" applyAlignment="1">
      <alignment horizontal="left" vertical="center"/>
      <protection locked="0"/>
    </xf>
    <xf numFmtId="4" fontId="26" fillId="12" borderId="0" xfId="1" applyNumberFormat="1" applyFont="1" applyFill="1" applyBorder="1" applyAlignment="1" applyProtection="1">
      <alignment horizontal="right" vertical="center"/>
    </xf>
    <xf numFmtId="4" fontId="5" fillId="12" borderId="0" xfId="1" applyNumberFormat="1" applyFont="1" applyFill="1" applyBorder="1" applyAlignment="1" applyProtection="1">
      <alignment horizontal="right" vertical="center"/>
    </xf>
    <xf numFmtId="4" fontId="26" fillId="12" borderId="0" xfId="5" applyNumberFormat="1" applyFont="1" applyFill="1" applyBorder="1" applyAlignment="1" applyProtection="1">
      <alignment horizontal="right" vertical="center"/>
    </xf>
    <xf numFmtId="4" fontId="23" fillId="2" borderId="0" xfId="1" applyNumberFormat="1" applyFont="1" applyFill="1" applyAlignment="1" applyProtection="1">
      <alignment vertical="center"/>
    </xf>
    <xf numFmtId="4" fontId="26" fillId="12" borderId="0" xfId="4" applyNumberFormat="1" applyFont="1" applyFill="1" applyBorder="1" applyAlignment="1" applyProtection="1">
      <alignment horizontal="right" vertical="center"/>
    </xf>
    <xf numFmtId="4" fontId="24" fillId="5" borderId="0" xfId="14" applyNumberFormat="1" applyFont="1" applyFill="1" applyBorder="1" applyAlignment="1" applyProtection="1">
      <alignment horizontal="right" vertical="center"/>
      <protection locked="0"/>
    </xf>
    <xf numFmtId="4" fontId="26" fillId="12" borderId="0" xfId="14" applyNumberFormat="1" applyFont="1" applyFill="1" applyBorder="1" applyAlignment="1" applyProtection="1">
      <alignment horizontal="right" vertical="center"/>
    </xf>
    <xf numFmtId="4" fontId="5" fillId="12" borderId="0" xfId="4" applyNumberFormat="1" applyFont="1" applyFill="1" applyBorder="1" applyAlignment="1" applyProtection="1">
      <alignment horizontal="right" vertical="center"/>
    </xf>
    <xf numFmtId="4" fontId="13" fillId="5" borderId="2" xfId="17" applyNumberFormat="1" applyFont="1" applyFill="1" applyBorder="1" applyAlignment="1" applyProtection="1">
      <alignment horizontal="right" vertical="center" wrapText="1"/>
    </xf>
    <xf numFmtId="174" fontId="26" fillId="12" borderId="0" xfId="4" applyNumberFormat="1" applyFont="1" applyFill="1" applyBorder="1" applyAlignment="1" applyProtection="1">
      <alignment horizontal="right" vertical="center"/>
    </xf>
    <xf numFmtId="4" fontId="5" fillId="12" borderId="0" xfId="5" applyNumberFormat="1" applyFont="1" applyFill="1" applyBorder="1" applyAlignment="1" applyProtection="1">
      <alignment horizontal="right" vertical="center"/>
    </xf>
    <xf numFmtId="4" fontId="5" fillId="12" borderId="0" xfId="14" applyNumberFormat="1" applyFont="1" applyFill="1" applyBorder="1" applyAlignment="1" applyProtection="1">
      <alignment horizontal="right" vertical="center"/>
    </xf>
    <xf numFmtId="37" fontId="5" fillId="4" borderId="0" xfId="2" applyNumberFormat="1" applyFont="1" applyFill="1" applyBorder="1" applyAlignment="1">
      <alignment vertical="center" wrapText="1"/>
      <protection locked="0"/>
    </xf>
    <xf numFmtId="10" fontId="26" fillId="12" borderId="0" xfId="14" applyNumberFormat="1" applyFont="1" applyFill="1" applyBorder="1" applyAlignment="1" applyProtection="1">
      <alignment horizontal="right" vertical="center"/>
    </xf>
    <xf numFmtId="49" fontId="6" fillId="12" borderId="0" xfId="2" applyNumberFormat="1" applyFont="1" applyFill="1" applyBorder="1" applyAlignment="1">
      <alignment horizontal="center" vertical="center"/>
      <protection locked="0"/>
    </xf>
    <xf numFmtId="0" fontId="39" fillId="14" borderId="14" xfId="1" applyFont="1" applyFill="1" applyBorder="1" applyAlignment="1" applyProtection="1">
      <alignment horizontal="center" vertical="center"/>
    </xf>
    <xf numFmtId="0" fontId="39" fillId="14" borderId="15" xfId="1" applyFont="1" applyFill="1" applyBorder="1" applyAlignment="1" applyProtection="1">
      <alignment horizontal="center" vertical="center"/>
    </xf>
    <xf numFmtId="0" fontId="39" fillId="7" borderId="15" xfId="1" applyFont="1" applyFill="1" applyBorder="1" applyAlignment="1" applyProtection="1">
      <alignment horizontal="center" vertical="center"/>
    </xf>
    <xf numFmtId="0" fontId="39" fillId="14" borderId="13" xfId="1" applyFont="1" applyFill="1" applyBorder="1" applyAlignment="1" applyProtection="1">
      <alignment horizontal="center" vertical="center"/>
    </xf>
    <xf numFmtId="49" fontId="6" fillId="12" borderId="0" xfId="2" applyNumberFormat="1" applyFont="1" applyFill="1" applyBorder="1" applyAlignment="1">
      <alignment horizontal="center" vertical="center"/>
      <protection locked="0"/>
    </xf>
    <xf numFmtId="0" fontId="32" fillId="2" borderId="0" xfId="1" applyFont="1" applyFill="1" applyBorder="1" applyAlignment="1" applyProtection="1">
      <alignment vertical="center"/>
    </xf>
    <xf numFmtId="0" fontId="32" fillId="2" borderId="0" xfId="1" applyFont="1" applyFill="1" applyBorder="1" applyProtection="1"/>
    <xf numFmtId="3" fontId="26" fillId="4" borderId="0" xfId="1" applyNumberFormat="1" applyFont="1" applyFill="1" applyBorder="1" applyAlignment="1" applyProtection="1">
      <alignment horizontal="right" vertical="center"/>
    </xf>
    <xf numFmtId="0" fontId="13" fillId="4" borderId="20" xfId="1" applyFont="1" applyFill="1" applyBorder="1" applyAlignment="1">
      <alignment vertical="center"/>
    </xf>
    <xf numFmtId="3" fontId="13" fillId="4" borderId="20" xfId="1" applyNumberFormat="1" applyFont="1" applyFill="1" applyBorder="1" applyAlignment="1" applyProtection="1">
      <alignment horizontal="left" vertical="center" wrapText="1"/>
    </xf>
    <xf numFmtId="170" fontId="5" fillId="12" borderId="0" xfId="4" applyNumberFormat="1" applyFont="1" applyFill="1" applyBorder="1" applyAlignment="1" applyProtection="1">
      <alignment horizontal="right" vertical="center"/>
    </xf>
    <xf numFmtId="3" fontId="5" fillId="4" borderId="21" xfId="1" applyNumberFormat="1" applyFont="1" applyFill="1" applyBorder="1" applyAlignment="1">
      <alignment vertical="center"/>
    </xf>
    <xf numFmtId="37" fontId="6" fillId="4" borderId="21" xfId="2" applyNumberFormat="1" applyFont="1" applyFill="1" applyBorder="1" applyAlignment="1">
      <alignment horizontal="left" vertical="center"/>
      <protection locked="0"/>
    </xf>
    <xf numFmtId="37" fontId="5" fillId="4" borderId="21" xfId="2" applyNumberFormat="1" applyFont="1" applyFill="1" applyBorder="1" applyAlignment="1">
      <alignment vertical="center" wrapText="1"/>
      <protection locked="0"/>
    </xf>
    <xf numFmtId="4" fontId="5" fillId="12" borderId="21" xfId="1" applyNumberFormat="1" applyFont="1" applyFill="1" applyBorder="1" applyAlignment="1" applyProtection="1">
      <alignment horizontal="right" vertical="center"/>
    </xf>
    <xf numFmtId="3" fontId="5" fillId="4" borderId="9" xfId="1" applyNumberFormat="1" applyFont="1" applyFill="1" applyBorder="1" applyAlignment="1">
      <alignment vertical="center"/>
    </xf>
    <xf numFmtId="37" fontId="6" fillId="4" borderId="9" xfId="2" applyNumberFormat="1" applyFont="1" applyFill="1" applyBorder="1" applyAlignment="1">
      <alignment horizontal="left" vertical="center"/>
      <protection locked="0"/>
    </xf>
    <xf numFmtId="4" fontId="5" fillId="12" borderId="9" xfId="1" applyNumberFormat="1" applyFont="1" applyFill="1" applyBorder="1" applyAlignment="1" applyProtection="1">
      <alignment horizontal="right" vertical="center"/>
    </xf>
    <xf numFmtId="37" fontId="5" fillId="4" borderId="9" xfId="2" applyNumberFormat="1" applyFont="1" applyFill="1" applyBorder="1" applyAlignment="1">
      <alignment vertical="center" wrapText="1"/>
      <protection locked="0"/>
    </xf>
    <xf numFmtId="3" fontId="10" fillId="4" borderId="18" xfId="1" applyNumberFormat="1" applyFont="1" applyFill="1" applyBorder="1" applyAlignment="1">
      <alignment vertical="center"/>
    </xf>
    <xf numFmtId="37" fontId="6" fillId="4" borderId="18" xfId="2" applyNumberFormat="1" applyFont="1" applyFill="1" applyBorder="1" applyAlignment="1">
      <alignment horizontal="left" vertical="center"/>
      <protection locked="0"/>
    </xf>
    <xf numFmtId="49" fontId="6" fillId="12" borderId="18" xfId="2" applyNumberFormat="1" applyFont="1" applyFill="1" applyBorder="1" applyAlignment="1">
      <alignment horizontal="center" vertical="center"/>
      <protection locked="0"/>
    </xf>
    <xf numFmtId="37" fontId="6" fillId="2" borderId="18" xfId="2" applyNumberFormat="1" applyFont="1" applyFill="1" applyBorder="1" applyAlignment="1">
      <alignment horizontal="right" vertical="center"/>
      <protection locked="0"/>
    </xf>
    <xf numFmtId="4" fontId="5" fillId="12" borderId="18" xfId="14" applyNumberFormat="1" applyFont="1" applyFill="1" applyBorder="1" applyAlignment="1" applyProtection="1">
      <alignment horizontal="right" vertical="center"/>
    </xf>
    <xf numFmtId="37" fontId="6" fillId="4" borderId="18" xfId="2" applyNumberFormat="1" applyFont="1" applyFill="1" applyBorder="1" applyAlignment="1">
      <alignment vertical="center" wrapText="1"/>
      <protection locked="0"/>
    </xf>
    <xf numFmtId="4" fontId="13" fillId="5" borderId="20" xfId="1" applyNumberFormat="1" applyFont="1" applyFill="1" applyBorder="1" applyAlignment="1" applyProtection="1">
      <alignment horizontal="right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15" fillId="7" borderId="5" xfId="1" applyFont="1" applyFill="1" applyBorder="1" applyAlignment="1">
      <alignment vertical="center" wrapText="1"/>
    </xf>
    <xf numFmtId="37" fontId="6" fillId="4" borderId="19" xfId="2" applyNumberFormat="1" applyFont="1" applyFill="1" applyBorder="1" applyAlignment="1">
      <alignment vertical="center" wrapText="1"/>
      <protection locked="0"/>
    </xf>
    <xf numFmtId="4" fontId="3" fillId="2" borderId="0" xfId="1" applyNumberFormat="1" applyFont="1" applyFill="1" applyAlignment="1" applyProtection="1">
      <alignment vertical="center" wrapText="1"/>
    </xf>
    <xf numFmtId="37" fontId="18" fillId="4" borderId="0" xfId="2" applyNumberFormat="1" applyFont="1" applyFill="1" applyBorder="1" applyAlignment="1">
      <alignment vertical="center" wrapText="1"/>
      <protection locked="0"/>
    </xf>
    <xf numFmtId="0" fontId="15" fillId="7" borderId="5" xfId="1" applyFont="1" applyFill="1" applyBorder="1" applyAlignment="1">
      <alignment horizontal="left" vertical="center" wrapText="1"/>
    </xf>
    <xf numFmtId="0" fontId="38" fillId="2" borderId="0" xfId="1" applyFont="1" applyFill="1" applyAlignment="1" applyProtection="1">
      <alignment vertical="center" wrapText="1"/>
    </xf>
    <xf numFmtId="0" fontId="38" fillId="4" borderId="0" xfId="1" applyFont="1" applyFill="1" applyAlignment="1" applyProtection="1">
      <alignment vertical="center" wrapText="1"/>
    </xf>
    <xf numFmtId="0" fontId="48" fillId="6" borderId="1" xfId="1" applyFont="1" applyFill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 applyAlignment="1">
      <alignment horizontal="left" vertical="center"/>
    </xf>
    <xf numFmtId="0" fontId="46" fillId="2" borderId="0" xfId="1" applyFont="1" applyFill="1" applyBorder="1" applyAlignment="1">
      <alignment vertical="center"/>
    </xf>
    <xf numFmtId="0" fontId="47" fillId="2" borderId="0" xfId="1" applyFont="1" applyFill="1" applyBorder="1" applyAlignment="1">
      <alignment vertical="center"/>
    </xf>
    <xf numFmtId="0" fontId="46" fillId="2" borderId="0" xfId="1" applyFont="1" applyFill="1" applyAlignment="1">
      <alignment vertical="center"/>
    </xf>
    <xf numFmtId="0" fontId="46" fillId="2" borderId="0" xfId="1" applyFont="1" applyFill="1" applyAlignment="1">
      <alignment horizontal="right" vertical="center"/>
    </xf>
    <xf numFmtId="0" fontId="1" fillId="2" borderId="0" xfId="1" applyFont="1" applyFill="1" applyAlignment="1">
      <alignment vertical="center"/>
    </xf>
    <xf numFmtId="0" fontId="19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49" fillId="2" borderId="0" xfId="1" applyFont="1" applyFill="1" applyAlignment="1">
      <alignment horizontal="left" vertical="center"/>
    </xf>
    <xf numFmtId="0" fontId="49" fillId="2" borderId="0" xfId="1" applyFont="1" applyFill="1" applyAlignment="1">
      <alignment vertical="center"/>
    </xf>
    <xf numFmtId="3" fontId="49" fillId="2" borderId="0" xfId="1" applyNumberFormat="1" applyFont="1" applyFill="1" applyAlignment="1">
      <alignment vertical="center"/>
    </xf>
    <xf numFmtId="37" fontId="49" fillId="2" borderId="0" xfId="1" applyNumberFormat="1" applyFont="1" applyFill="1" applyBorder="1" applyAlignment="1">
      <alignment vertical="center"/>
    </xf>
    <xf numFmtId="37" fontId="49" fillId="2" borderId="0" xfId="1" applyNumberFormat="1" applyFont="1" applyFill="1" applyAlignment="1">
      <alignment vertical="center"/>
    </xf>
    <xf numFmtId="3" fontId="51" fillId="4" borderId="0" xfId="1" applyNumberFormat="1" applyFont="1" applyFill="1" applyAlignment="1">
      <alignment horizontal="center" vertical="center" wrapText="1"/>
    </xf>
    <xf numFmtId="3" fontId="49" fillId="4" borderId="0" xfId="1" applyNumberFormat="1" applyFont="1" applyFill="1" applyBorder="1" applyAlignment="1" applyProtection="1">
      <alignment horizontal="center" vertical="center"/>
    </xf>
    <xf numFmtId="3" fontId="51" fillId="4" borderId="0" xfId="2" applyNumberFormat="1" applyFont="1" applyFill="1" applyBorder="1" applyAlignment="1">
      <alignment horizontal="center" vertical="center"/>
      <protection locked="0"/>
    </xf>
    <xf numFmtId="3" fontId="51" fillId="4" borderId="0" xfId="2" applyNumberFormat="1" applyFont="1" applyFill="1" applyBorder="1" applyAlignment="1">
      <alignment vertical="center"/>
      <protection locked="0"/>
    </xf>
    <xf numFmtId="171" fontId="49" fillId="4" borderId="0" xfId="4" applyNumberFormat="1" applyFont="1" applyFill="1" applyBorder="1" applyAlignment="1" applyProtection="1">
      <alignment horizontal="right" vertical="center"/>
    </xf>
    <xf numFmtId="0" fontId="49" fillId="2" borderId="0" xfId="1" applyFont="1" applyFill="1" applyAlignment="1">
      <alignment horizontal="center" vertical="center"/>
    </xf>
    <xf numFmtId="3" fontId="47" fillId="9" borderId="16" xfId="1" applyNumberFormat="1" applyFont="1" applyFill="1" applyBorder="1" applyAlignment="1">
      <alignment horizontal="left" vertical="center" wrapText="1"/>
    </xf>
    <xf numFmtId="3" fontId="47" fillId="9" borderId="16" xfId="1" applyNumberFormat="1" applyFont="1" applyFill="1" applyBorder="1" applyAlignment="1">
      <alignment horizontal="center" vertical="center" wrapText="1"/>
    </xf>
    <xf numFmtId="0" fontId="50" fillId="9" borderId="16" xfId="1" applyFont="1" applyFill="1" applyBorder="1" applyAlignment="1">
      <alignment horizontal="right" vertical="center"/>
    </xf>
    <xf numFmtId="3" fontId="50" fillId="9" borderId="16" xfId="1" applyNumberFormat="1" applyFont="1" applyFill="1" applyBorder="1" applyAlignment="1" applyProtection="1">
      <alignment horizontal="right" vertical="center"/>
    </xf>
    <xf numFmtId="3" fontId="47" fillId="9" borderId="16" xfId="2" applyNumberFormat="1" applyFont="1" applyFill="1" applyBorder="1" applyAlignment="1">
      <alignment vertical="center"/>
      <protection locked="0"/>
    </xf>
    <xf numFmtId="171" fontId="50" fillId="9" borderId="16" xfId="4" applyNumberFormat="1" applyFont="1" applyFill="1" applyBorder="1" applyAlignment="1" applyProtection="1">
      <alignment horizontal="right" vertical="center"/>
    </xf>
    <xf numFmtId="3" fontId="47" fillId="9" borderId="2" xfId="1" applyNumberFormat="1" applyFont="1" applyFill="1" applyBorder="1" applyAlignment="1">
      <alignment horizontal="left" vertical="center" wrapText="1"/>
    </xf>
    <xf numFmtId="3" fontId="47" fillId="9" borderId="2" xfId="1" applyNumberFormat="1" applyFont="1" applyFill="1" applyBorder="1" applyAlignment="1">
      <alignment horizontal="center" vertical="center" wrapText="1"/>
    </xf>
    <xf numFmtId="0" fontId="50" fillId="9" borderId="2" xfId="1" applyFont="1" applyFill="1" applyBorder="1" applyAlignment="1">
      <alignment horizontal="right" vertical="center"/>
    </xf>
    <xf numFmtId="3" fontId="50" fillId="9" borderId="2" xfId="1" applyNumberFormat="1" applyFont="1" applyFill="1" applyBorder="1" applyAlignment="1" applyProtection="1">
      <alignment horizontal="right" vertical="center"/>
    </xf>
    <xf numFmtId="3" fontId="47" fillId="9" borderId="2" xfId="2" applyNumberFormat="1" applyFont="1" applyFill="1" applyBorder="1" applyAlignment="1">
      <alignment vertical="center"/>
      <protection locked="0"/>
    </xf>
    <xf numFmtId="171" fontId="50" fillId="9" borderId="2" xfId="4" applyNumberFormat="1" applyFont="1" applyFill="1" applyBorder="1" applyAlignment="1" applyProtection="1">
      <alignment horizontal="right" vertical="center"/>
    </xf>
    <xf numFmtId="3" fontId="47" fillId="4" borderId="8" xfId="1" applyNumberFormat="1" applyFont="1" applyFill="1" applyBorder="1" applyAlignment="1">
      <alignment horizontal="left" vertical="center" wrapText="1"/>
    </xf>
    <xf numFmtId="3" fontId="47" fillId="4" borderId="8" xfId="1" applyNumberFormat="1" applyFont="1" applyFill="1" applyBorder="1" applyAlignment="1">
      <alignment horizontal="center" vertical="center" wrapText="1"/>
    </xf>
    <xf numFmtId="0" fontId="50" fillId="4" borderId="8" xfId="1" applyFont="1" applyFill="1" applyBorder="1" applyAlignment="1">
      <alignment horizontal="right" vertical="center"/>
    </xf>
    <xf numFmtId="3" fontId="50" fillId="4" borderId="8" xfId="1" applyNumberFormat="1" applyFont="1" applyFill="1" applyBorder="1" applyAlignment="1" applyProtection="1">
      <alignment horizontal="right" vertical="center"/>
    </xf>
    <xf numFmtId="3" fontId="47" fillId="4" borderId="8" xfId="2" applyNumberFormat="1" applyFont="1" applyFill="1" applyBorder="1" applyAlignment="1">
      <alignment vertical="center"/>
      <protection locked="0"/>
    </xf>
    <xf numFmtId="171" fontId="50" fillId="4" borderId="8" xfId="4" applyNumberFormat="1" applyFont="1" applyFill="1" applyBorder="1" applyAlignment="1" applyProtection="1">
      <alignment horizontal="right" vertical="center"/>
    </xf>
    <xf numFmtId="0" fontId="49" fillId="2" borderId="0" xfId="1" applyFont="1" applyFill="1" applyBorder="1" applyAlignment="1">
      <alignment horizontal="left" vertical="center"/>
    </xf>
    <xf numFmtId="3" fontId="12" fillId="7" borderId="3" xfId="1" applyNumberFormat="1" applyFont="1" applyFill="1" applyBorder="1" applyAlignment="1">
      <alignment horizontal="left" vertical="center"/>
    </xf>
    <xf numFmtId="0" fontId="48" fillId="7" borderId="3" xfId="1" applyFont="1" applyFill="1" applyBorder="1" applyAlignment="1">
      <alignment vertical="center"/>
    </xf>
    <xf numFmtId="37" fontId="52" fillId="7" borderId="3" xfId="1" applyNumberFormat="1" applyFont="1" applyFill="1" applyBorder="1" applyAlignment="1">
      <alignment horizontal="right" vertical="center"/>
    </xf>
    <xf numFmtId="3" fontId="51" fillId="3" borderId="0" xfId="1" applyNumberFormat="1" applyFont="1" applyFill="1" applyAlignment="1">
      <alignment horizontal="left" vertical="center"/>
    </xf>
    <xf numFmtId="3" fontId="51" fillId="3" borderId="0" xfId="1" applyNumberFormat="1" applyFont="1" applyFill="1" applyAlignment="1">
      <alignment vertical="center"/>
    </xf>
    <xf numFmtId="3" fontId="49" fillId="3" borderId="0" xfId="1" applyNumberFormat="1" applyFont="1" applyFill="1" applyBorder="1" applyAlignment="1" applyProtection="1">
      <alignment horizontal="left" vertical="center" wrapText="1"/>
    </xf>
    <xf numFmtId="37" fontId="51" fillId="3" borderId="0" xfId="2" applyNumberFormat="1" applyFont="1" applyFill="1" applyAlignment="1">
      <alignment horizontal="right" vertical="center"/>
      <protection locked="0"/>
    </xf>
    <xf numFmtId="37" fontId="51" fillId="5" borderId="0" xfId="2" applyNumberFormat="1" applyFont="1" applyFill="1" applyAlignment="1">
      <alignment horizontal="right" vertical="center"/>
      <protection locked="0"/>
    </xf>
    <xf numFmtId="3" fontId="51" fillId="3" borderId="4" xfId="1" applyNumberFormat="1" applyFont="1" applyFill="1" applyBorder="1" applyAlignment="1">
      <alignment horizontal="left" vertical="center"/>
    </xf>
    <xf numFmtId="3" fontId="51" fillId="3" borderId="4" xfId="1" applyNumberFormat="1" applyFont="1" applyFill="1" applyBorder="1" applyAlignment="1">
      <alignment vertical="center"/>
    </xf>
    <xf numFmtId="3" fontId="49" fillId="3" borderId="4" xfId="1" applyNumberFormat="1" applyFont="1" applyFill="1" applyBorder="1" applyAlignment="1" applyProtection="1">
      <alignment horizontal="left" vertical="center" wrapText="1"/>
    </xf>
    <xf numFmtId="37" fontId="51" fillId="3" borderId="4" xfId="2" applyNumberFormat="1" applyFont="1" applyFill="1" applyBorder="1" applyAlignment="1">
      <alignment horizontal="right" vertical="center"/>
      <protection locked="0"/>
    </xf>
    <xf numFmtId="3" fontId="12" fillId="7" borderId="0" xfId="1" applyNumberFormat="1" applyFont="1" applyFill="1" applyBorder="1" applyAlignment="1">
      <alignment horizontal="left" vertical="center"/>
    </xf>
    <xf numFmtId="0" fontId="48" fillId="7" borderId="0" xfId="1" applyFont="1" applyFill="1" applyBorder="1" applyAlignment="1">
      <alignment vertical="center"/>
    </xf>
    <xf numFmtId="37" fontId="52" fillId="7" borderId="0" xfId="1" applyNumberFormat="1" applyFont="1" applyFill="1" applyBorder="1" applyAlignment="1">
      <alignment horizontal="right" vertical="center"/>
    </xf>
    <xf numFmtId="3" fontId="51" fillId="2" borderId="0" xfId="1" applyNumberFormat="1" applyFont="1" applyFill="1" applyAlignment="1">
      <alignment horizontal="left" vertical="center"/>
    </xf>
    <xf numFmtId="3" fontId="51" fillId="2" borderId="0" xfId="1" applyNumberFormat="1" applyFont="1" applyFill="1" applyAlignment="1">
      <alignment vertical="center"/>
    </xf>
    <xf numFmtId="3" fontId="49" fillId="2" borderId="0" xfId="1" applyNumberFormat="1" applyFont="1" applyFill="1" applyBorder="1" applyAlignment="1" applyProtection="1">
      <alignment horizontal="left" vertical="center" wrapText="1"/>
    </xf>
    <xf numFmtId="37" fontId="51" fillId="2" borderId="0" xfId="2" applyNumberFormat="1" applyFont="1" applyFill="1" applyAlignment="1">
      <alignment horizontal="right" vertical="center"/>
      <protection locked="0"/>
    </xf>
    <xf numFmtId="37" fontId="51" fillId="4" borderId="0" xfId="2" applyNumberFormat="1" applyFont="1" applyFill="1" applyAlignment="1">
      <alignment horizontal="right" vertical="center"/>
      <protection locked="0"/>
    </xf>
    <xf numFmtId="0" fontId="51" fillId="3" borderId="0" xfId="1" applyFont="1" applyFill="1" applyBorder="1" applyAlignment="1">
      <alignment vertical="center"/>
    </xf>
    <xf numFmtId="37" fontId="16" fillId="2" borderId="0" xfId="1" applyNumberFormat="1" applyFont="1" applyFill="1" applyAlignment="1">
      <alignment vertical="center"/>
    </xf>
    <xf numFmtId="3" fontId="12" fillId="7" borderId="5" xfId="1" applyNumberFormat="1" applyFont="1" applyFill="1" applyBorder="1" applyAlignment="1">
      <alignment horizontal="left" vertical="center"/>
    </xf>
    <xf numFmtId="0" fontId="48" fillId="7" borderId="5" xfId="1" applyFont="1" applyFill="1" applyBorder="1" applyAlignment="1">
      <alignment vertical="center"/>
    </xf>
    <xf numFmtId="37" fontId="52" fillId="7" borderId="5" xfId="1" applyNumberFormat="1" applyFont="1" applyFill="1" applyBorder="1" applyAlignment="1">
      <alignment horizontal="right" vertical="center"/>
    </xf>
    <xf numFmtId="37" fontId="51" fillId="3" borderId="0" xfId="1" applyNumberFormat="1" applyFont="1" applyFill="1" applyAlignment="1">
      <alignment horizontal="right" vertical="center"/>
    </xf>
    <xf numFmtId="169" fontId="3" fillId="2" borderId="0" xfId="1" applyNumberFormat="1" applyFont="1" applyFill="1" applyAlignment="1">
      <alignment vertical="center"/>
    </xf>
    <xf numFmtId="0" fontId="51" fillId="4" borderId="0" xfId="1" applyFont="1" applyFill="1" applyBorder="1" applyAlignment="1">
      <alignment vertical="center"/>
    </xf>
    <xf numFmtId="37" fontId="3" fillId="2" borderId="0" xfId="1" applyNumberFormat="1" applyFont="1" applyFill="1" applyAlignment="1">
      <alignment vertical="center"/>
    </xf>
    <xf numFmtId="3" fontId="51" fillId="4" borderId="0" xfId="1" applyNumberFormat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3" fontId="51" fillId="4" borderId="0" xfId="1" applyNumberFormat="1" applyFont="1" applyFill="1" applyAlignment="1">
      <alignment vertical="center"/>
    </xf>
    <xf numFmtId="0" fontId="41" fillId="0" borderId="0" xfId="1" applyFont="1" applyFill="1" applyAlignment="1">
      <alignment vertical="center"/>
    </xf>
    <xf numFmtId="0" fontId="41" fillId="4" borderId="0" xfId="1" applyFont="1" applyFill="1" applyAlignment="1">
      <alignment vertical="center"/>
    </xf>
    <xf numFmtId="37" fontId="51" fillId="2" borderId="0" xfId="1" applyNumberFormat="1" applyFont="1" applyFill="1" applyAlignment="1">
      <alignment horizontal="right" vertical="center"/>
    </xf>
    <xf numFmtId="3" fontId="49" fillId="3" borderId="0" xfId="1" applyNumberFormat="1" applyFont="1" applyFill="1" applyAlignment="1">
      <alignment vertical="center"/>
    </xf>
    <xf numFmtId="0" fontId="49" fillId="3" borderId="0" xfId="1" applyFont="1" applyFill="1" applyBorder="1" applyAlignment="1">
      <alignment vertical="center"/>
    </xf>
    <xf numFmtId="37" fontId="41" fillId="4" borderId="0" xfId="1" applyNumberFormat="1" applyFont="1" applyFill="1" applyAlignment="1">
      <alignment vertical="center"/>
    </xf>
    <xf numFmtId="37" fontId="51" fillId="13" borderId="0" xfId="2" applyNumberFormat="1" applyFont="1" applyFill="1" applyAlignment="1">
      <alignment horizontal="right" vertical="center"/>
      <protection locked="0"/>
    </xf>
    <xf numFmtId="0" fontId="50" fillId="7" borderId="5" xfId="1" applyFont="1" applyFill="1" applyBorder="1" applyAlignment="1">
      <alignment vertical="center"/>
    </xf>
    <xf numFmtId="172" fontId="51" fillId="2" borderId="0" xfId="2" applyNumberFormat="1" applyFont="1" applyFill="1" applyAlignment="1">
      <alignment horizontal="right" vertical="center"/>
      <protection locked="0"/>
    </xf>
    <xf numFmtId="37" fontId="1" fillId="2" borderId="0" xfId="1" applyNumberFormat="1" applyFont="1" applyFill="1" applyAlignment="1">
      <alignment vertical="center"/>
    </xf>
    <xf numFmtId="172" fontId="51" fillId="2" borderId="0" xfId="1" applyNumberFormat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0" fillId="4" borderId="0" xfId="0" applyFill="1" applyAlignment="1">
      <alignment vertical="center"/>
    </xf>
    <xf numFmtId="0" fontId="36" fillId="4" borderId="0" xfId="0" applyFont="1" applyFill="1" applyAlignment="1">
      <alignment vertical="center"/>
    </xf>
    <xf numFmtId="0" fontId="5" fillId="4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/>
    </xf>
    <xf numFmtId="49" fontId="6" fillId="12" borderId="16" xfId="2" applyNumberFormat="1" applyFont="1" applyFill="1" applyBorder="1" applyAlignment="1">
      <alignment horizontal="center" vertical="center"/>
      <protection locked="0"/>
    </xf>
    <xf numFmtId="4" fontId="26" fillId="5" borderId="16" xfId="5" applyNumberFormat="1" applyFont="1" applyFill="1" applyBorder="1" applyAlignment="1" applyProtection="1">
      <alignment horizontal="right" vertical="center"/>
    </xf>
    <xf numFmtId="0" fontId="26" fillId="4" borderId="16" xfId="1" applyFont="1" applyFill="1" applyBorder="1" applyAlignment="1" applyProtection="1">
      <alignment vertical="center" wrapText="1"/>
    </xf>
    <xf numFmtId="0" fontId="5" fillId="2" borderId="18" xfId="1" applyFont="1" applyFill="1" applyBorder="1" applyAlignment="1" applyProtection="1">
      <alignment horizontal="left" vertical="center"/>
    </xf>
    <xf numFmtId="4" fontId="26" fillId="5" borderId="18" xfId="5" applyNumberFormat="1" applyFont="1" applyFill="1" applyBorder="1" applyAlignment="1" applyProtection="1">
      <alignment horizontal="right" vertical="center"/>
    </xf>
    <xf numFmtId="0" fontId="26" fillId="4" borderId="18" xfId="1" applyFont="1" applyFill="1" applyBorder="1" applyAlignment="1" applyProtection="1">
      <alignment vertical="center" wrapText="1"/>
    </xf>
    <xf numFmtId="0" fontId="15" fillId="7" borderId="23" xfId="1" applyFont="1" applyFill="1" applyBorder="1" applyAlignment="1">
      <alignment vertical="center"/>
    </xf>
    <xf numFmtId="0" fontId="29" fillId="7" borderId="23" xfId="1" applyFont="1" applyFill="1" applyBorder="1" applyAlignment="1">
      <alignment vertical="center"/>
    </xf>
    <xf numFmtId="0" fontId="40" fillId="7" borderId="23" xfId="1" applyFont="1" applyFill="1" applyBorder="1" applyAlignment="1">
      <alignment horizontal="center" vertical="center" wrapText="1"/>
    </xf>
    <xf numFmtId="4" fontId="29" fillId="7" borderId="23" xfId="1" applyNumberFormat="1" applyFont="1" applyFill="1" applyBorder="1" applyAlignment="1">
      <alignment horizontal="center" vertical="center"/>
    </xf>
    <xf numFmtId="0" fontId="29" fillId="7" borderId="23" xfId="1" applyFont="1" applyFill="1" applyBorder="1" applyAlignment="1">
      <alignment vertical="center" wrapText="1"/>
    </xf>
    <xf numFmtId="0" fontId="5" fillId="4" borderId="18" xfId="1" applyFont="1" applyFill="1" applyBorder="1" applyAlignment="1" applyProtection="1">
      <alignment horizontal="left" vertical="center"/>
    </xf>
    <xf numFmtId="0" fontId="26" fillId="2" borderId="18" xfId="1" applyFont="1" applyFill="1" applyBorder="1" applyAlignment="1" applyProtection="1">
      <alignment horizontal="left" vertical="center"/>
    </xf>
    <xf numFmtId="4" fontId="26" fillId="12" borderId="18" xfId="1" applyNumberFormat="1" applyFont="1" applyFill="1" applyBorder="1" applyAlignment="1" applyProtection="1">
      <alignment horizontal="right" vertical="center"/>
    </xf>
    <xf numFmtId="0" fontId="5" fillId="4" borderId="18" xfId="1" applyFont="1" applyFill="1" applyBorder="1" applyAlignment="1" applyProtection="1">
      <alignment vertical="center" wrapText="1"/>
    </xf>
    <xf numFmtId="0" fontId="29" fillId="7" borderId="23" xfId="1" applyFont="1" applyFill="1" applyBorder="1" applyAlignment="1">
      <alignment horizontal="center" vertical="center"/>
    </xf>
    <xf numFmtId="0" fontId="5" fillId="4" borderId="18" xfId="1" applyFont="1" applyFill="1" applyBorder="1" applyAlignment="1" applyProtection="1">
      <alignment horizontal="left" vertical="center" wrapText="1"/>
    </xf>
    <xf numFmtId="0" fontId="30" fillId="4" borderId="18" xfId="0" applyFont="1" applyFill="1" applyBorder="1" applyAlignment="1">
      <alignment vertical="center" wrapText="1"/>
    </xf>
    <xf numFmtId="37" fontId="24" fillId="4" borderId="18" xfId="2" applyNumberFormat="1" applyFont="1" applyFill="1" applyBorder="1" applyAlignment="1">
      <alignment horizontal="left" vertical="center"/>
      <protection locked="0"/>
    </xf>
    <xf numFmtId="170" fontId="26" fillId="12" borderId="18" xfId="4" applyNumberFormat="1" applyFont="1" applyFill="1" applyBorder="1" applyAlignment="1" applyProtection="1">
      <alignment horizontal="right" vertical="center"/>
    </xf>
    <xf numFmtId="37" fontId="31" fillId="4" borderId="18" xfId="2" applyNumberFormat="1" applyFont="1" applyFill="1" applyBorder="1" applyAlignment="1">
      <alignment vertical="center" wrapText="1"/>
      <protection locked="0"/>
    </xf>
    <xf numFmtId="0" fontId="26" fillId="4" borderId="18" xfId="1" applyFont="1" applyFill="1" applyBorder="1" applyAlignment="1" applyProtection="1">
      <alignment horizontal="left" vertical="center"/>
    </xf>
    <xf numFmtId="9" fontId="26" fillId="12" borderId="18" xfId="5" applyFont="1" applyFill="1" applyBorder="1" applyAlignment="1" applyProtection="1">
      <alignment horizontal="right" vertical="center"/>
    </xf>
    <xf numFmtId="0" fontId="6" fillId="2" borderId="18" xfId="1" applyFont="1" applyFill="1" applyBorder="1" applyAlignment="1" applyProtection="1">
      <alignment vertical="center" wrapText="1"/>
    </xf>
    <xf numFmtId="4" fontId="26" fillId="12" borderId="18" xfId="5" applyNumberFormat="1" applyFont="1" applyFill="1" applyBorder="1" applyAlignment="1" applyProtection="1">
      <alignment horizontal="right" vertical="center"/>
    </xf>
    <xf numFmtId="3" fontId="26" fillId="12" borderId="0" xfId="4" applyNumberFormat="1" applyFont="1" applyFill="1" applyBorder="1" applyAlignment="1" applyProtection="1">
      <alignment horizontal="right" vertical="center"/>
    </xf>
    <xf numFmtId="3" fontId="26" fillId="4" borderId="18" xfId="1" applyNumberFormat="1" applyFont="1" applyFill="1" applyBorder="1" applyAlignment="1" applyProtection="1">
      <alignment vertical="center" wrapText="1"/>
    </xf>
    <xf numFmtId="3" fontId="26" fillId="2" borderId="18" xfId="1" applyNumberFormat="1" applyFont="1" applyFill="1" applyBorder="1" applyAlignment="1" applyProtection="1">
      <alignment horizontal="left" vertical="center" wrapText="1"/>
    </xf>
    <xf numFmtId="3" fontId="26" fillId="12" borderId="18" xfId="4" applyNumberFormat="1" applyFont="1" applyFill="1" applyBorder="1" applyAlignment="1" applyProtection="1">
      <alignment horizontal="right" vertical="center"/>
    </xf>
    <xf numFmtId="49" fontId="5" fillId="2" borderId="18" xfId="1" applyNumberFormat="1" applyFont="1" applyFill="1" applyBorder="1" applyAlignment="1" applyProtection="1">
      <alignment vertical="center" wrapText="1"/>
    </xf>
    <xf numFmtId="4" fontId="24" fillId="5" borderId="18" xfId="14" applyNumberFormat="1" applyFont="1" applyFill="1" applyBorder="1" applyAlignment="1" applyProtection="1">
      <alignment horizontal="right" vertical="center"/>
      <protection locked="0"/>
    </xf>
    <xf numFmtId="37" fontId="24" fillId="4" borderId="18" xfId="2" applyNumberFormat="1" applyFont="1" applyFill="1" applyBorder="1" applyAlignment="1">
      <alignment vertical="center" wrapText="1"/>
      <protection locked="0"/>
    </xf>
    <xf numFmtId="3" fontId="33" fillId="4" borderId="18" xfId="1" applyNumberFormat="1" applyFont="1" applyFill="1" applyBorder="1" applyAlignment="1">
      <alignment vertical="center"/>
    </xf>
    <xf numFmtId="4" fontId="26" fillId="12" borderId="18" xfId="14" applyNumberFormat="1" applyFont="1" applyFill="1" applyBorder="1" applyAlignment="1" applyProtection="1">
      <alignment horizontal="right" vertical="center"/>
    </xf>
    <xf numFmtId="37" fontId="5" fillId="4" borderId="18" xfId="2" applyNumberFormat="1" applyFont="1" applyFill="1" applyBorder="1" applyAlignment="1">
      <alignment vertical="center" wrapText="1"/>
      <protection locked="0"/>
    </xf>
    <xf numFmtId="3" fontId="33" fillId="4" borderId="23" xfId="1" applyNumberFormat="1" applyFont="1" applyFill="1" applyBorder="1" applyAlignment="1">
      <alignment vertical="center"/>
    </xf>
    <xf numFmtId="37" fontId="6" fillId="4" borderId="23" xfId="2" applyNumberFormat="1" applyFont="1" applyFill="1" applyBorder="1" applyAlignment="1">
      <alignment horizontal="left" vertical="center"/>
      <protection locked="0"/>
    </xf>
    <xf numFmtId="37" fontId="24" fillId="4" borderId="23" xfId="2" applyNumberFormat="1" applyFont="1" applyFill="1" applyBorder="1" applyAlignment="1">
      <alignment horizontal="left" vertical="center"/>
      <protection locked="0"/>
    </xf>
    <xf numFmtId="4" fontId="26" fillId="12" borderId="23" xfId="14" applyNumberFormat="1" applyFont="1" applyFill="1" applyBorder="1" applyAlignment="1" applyProtection="1">
      <alignment horizontal="right" vertical="center"/>
    </xf>
    <xf numFmtId="37" fontId="6" fillId="4" borderId="23" xfId="2" applyNumberFormat="1" applyFont="1" applyFill="1" applyBorder="1" applyAlignment="1">
      <alignment vertical="center" wrapText="1"/>
      <protection locked="0"/>
    </xf>
    <xf numFmtId="37" fontId="6" fillId="2" borderId="0" xfId="2" applyNumberFormat="1" applyFont="1" applyFill="1" applyBorder="1" applyAlignment="1">
      <alignment horizontal="right" vertical="center"/>
      <protection locked="0"/>
    </xf>
    <xf numFmtId="3" fontId="10" fillId="2" borderId="0" xfId="1" applyNumberFormat="1" applyFont="1" applyFill="1" applyBorder="1" applyAlignment="1">
      <alignment vertical="center"/>
    </xf>
    <xf numFmtId="3" fontId="10" fillId="4" borderId="22" xfId="1" applyNumberFormat="1" applyFont="1" applyFill="1" applyBorder="1" applyAlignment="1">
      <alignment vertical="center"/>
    </xf>
    <xf numFmtId="37" fontId="6" fillId="4" borderId="22" xfId="2" applyNumberFormat="1" applyFont="1" applyFill="1" applyBorder="1" applyAlignment="1">
      <alignment horizontal="left" vertical="center"/>
      <protection locked="0"/>
    </xf>
    <xf numFmtId="166" fontId="26" fillId="12" borderId="22" xfId="4" applyNumberFormat="1" applyFont="1" applyFill="1" applyBorder="1" applyAlignment="1" applyProtection="1">
      <alignment horizontal="right" vertical="center"/>
    </xf>
    <xf numFmtId="37" fontId="5" fillId="4" borderId="22" xfId="2" applyNumberFormat="1" applyFont="1" applyFill="1" applyBorder="1" applyAlignment="1">
      <alignment vertical="center" wrapText="1"/>
      <protection locked="0"/>
    </xf>
    <xf numFmtId="0" fontId="35" fillId="4" borderId="22" xfId="1" applyFont="1" applyFill="1" applyBorder="1" applyAlignment="1">
      <alignment vertical="center"/>
    </xf>
    <xf numFmtId="3" fontId="33" fillId="4" borderId="22" xfId="1" applyNumberFormat="1" applyFont="1" applyFill="1" applyBorder="1" applyAlignment="1">
      <alignment vertical="center"/>
    </xf>
    <xf numFmtId="4" fontId="13" fillId="5" borderId="22" xfId="1" applyNumberFormat="1" applyFont="1" applyFill="1" applyBorder="1" applyAlignment="1" applyProtection="1">
      <alignment horizontal="right" vertical="center" wrapText="1"/>
    </xf>
    <xf numFmtId="3" fontId="13" fillId="4" borderId="22" xfId="1" applyNumberFormat="1" applyFont="1" applyFill="1" applyBorder="1" applyAlignment="1" applyProtection="1">
      <alignment horizontal="left" vertical="center" wrapText="1"/>
    </xf>
    <xf numFmtId="0" fontId="13" fillId="4" borderId="19" xfId="1" applyFont="1" applyFill="1" applyBorder="1" applyAlignment="1">
      <alignment vertical="center"/>
    </xf>
    <xf numFmtId="3" fontId="35" fillId="4" borderId="19" xfId="1" applyNumberFormat="1" applyFont="1" applyFill="1" applyBorder="1" applyAlignment="1" applyProtection="1">
      <alignment horizontal="left" vertical="center" wrapText="1"/>
    </xf>
    <xf numFmtId="4" fontId="13" fillId="5" borderId="19" xfId="1" applyNumberFormat="1" applyFont="1" applyFill="1" applyBorder="1" applyAlignment="1" applyProtection="1">
      <alignment horizontal="right" vertical="center" wrapText="1"/>
    </xf>
    <xf numFmtId="3" fontId="13" fillId="4" borderId="19" xfId="1" applyNumberFormat="1" applyFont="1" applyFill="1" applyBorder="1" applyAlignment="1" applyProtection="1">
      <alignment horizontal="left" vertical="center" wrapText="1"/>
    </xf>
    <xf numFmtId="0" fontId="13" fillId="4" borderId="24" xfId="1" applyFont="1" applyFill="1" applyBorder="1" applyAlignment="1">
      <alignment vertical="center"/>
    </xf>
    <xf numFmtId="3" fontId="35" fillId="4" borderId="24" xfId="1" applyNumberFormat="1" applyFont="1" applyFill="1" applyBorder="1" applyAlignment="1" applyProtection="1">
      <alignment horizontal="left" vertical="center" wrapText="1"/>
    </xf>
    <xf numFmtId="4" fontId="13" fillId="5" borderId="24" xfId="1" applyNumberFormat="1" applyFont="1" applyFill="1" applyBorder="1" applyAlignment="1" applyProtection="1">
      <alignment horizontal="right" vertical="center" wrapText="1"/>
    </xf>
    <xf numFmtId="3" fontId="13" fillId="4" borderId="24" xfId="1" applyNumberFormat="1" applyFont="1" applyFill="1" applyBorder="1" applyAlignment="1" applyProtection="1">
      <alignment horizontal="left" vertical="center" wrapText="1"/>
    </xf>
    <xf numFmtId="0" fontId="13" fillId="4" borderId="22" xfId="1" applyFont="1" applyFill="1" applyBorder="1" applyAlignment="1">
      <alignment vertical="center"/>
    </xf>
    <xf numFmtId="2" fontId="5" fillId="12" borderId="0" xfId="4" applyNumberFormat="1" applyFont="1" applyFill="1" applyBorder="1" applyAlignment="1" applyProtection="1">
      <alignment horizontal="right" vertical="center"/>
    </xf>
    <xf numFmtId="0" fontId="13" fillId="4" borderId="25" xfId="1" applyFont="1" applyFill="1" applyBorder="1" applyAlignment="1">
      <alignment vertical="center"/>
    </xf>
    <xf numFmtId="3" fontId="13" fillId="4" borderId="25" xfId="1" applyNumberFormat="1" applyFont="1" applyFill="1" applyBorder="1" applyAlignment="1" applyProtection="1">
      <alignment horizontal="left" vertical="center" wrapText="1"/>
    </xf>
    <xf numFmtId="4" fontId="13" fillId="5" borderId="25" xfId="1" applyNumberFormat="1" applyFont="1" applyFill="1" applyBorder="1" applyAlignment="1" applyProtection="1">
      <alignment horizontal="right" vertical="center" wrapText="1"/>
    </xf>
    <xf numFmtId="0" fontId="15" fillId="7" borderId="23" xfId="1" applyFont="1" applyFill="1" applyBorder="1" applyAlignment="1">
      <alignment horizontal="center" vertical="center"/>
    </xf>
    <xf numFmtId="0" fontId="15" fillId="7" borderId="23" xfId="1" applyFont="1" applyFill="1" applyBorder="1" applyAlignment="1">
      <alignment vertical="center" wrapText="1"/>
    </xf>
    <xf numFmtId="3" fontId="6" fillId="4" borderId="0" xfId="1" applyNumberFormat="1" applyFont="1" applyFill="1" applyBorder="1" applyAlignment="1">
      <alignment horizontal="left" vertical="center" wrapText="1"/>
    </xf>
    <xf numFmtId="3" fontId="10" fillId="4" borderId="0" xfId="1" applyNumberFormat="1" applyFont="1" applyFill="1" applyBorder="1" applyAlignment="1">
      <alignment vertical="center" wrapText="1"/>
    </xf>
    <xf numFmtId="166" fontId="13" fillId="5" borderId="25" xfId="1" applyNumberFormat="1" applyFont="1" applyFill="1" applyBorder="1" applyAlignment="1" applyProtection="1">
      <alignment horizontal="right" vertical="center" wrapText="1"/>
    </xf>
    <xf numFmtId="3" fontId="5" fillId="4" borderId="0" xfId="1" applyNumberFormat="1" applyFont="1" applyFill="1" applyBorder="1" applyAlignment="1">
      <alignment horizontal="left" vertical="center" wrapText="1"/>
    </xf>
    <xf numFmtId="3" fontId="5" fillId="4" borderId="0" xfId="1" applyNumberFormat="1" applyFont="1" applyFill="1" applyBorder="1" applyAlignment="1">
      <alignment vertical="center" wrapText="1"/>
    </xf>
    <xf numFmtId="165" fontId="13" fillId="5" borderId="25" xfId="1" applyNumberFormat="1" applyFont="1" applyFill="1" applyBorder="1" applyAlignment="1" applyProtection="1">
      <alignment horizontal="right" vertical="center" wrapText="1"/>
    </xf>
    <xf numFmtId="0" fontId="53" fillId="2" borderId="0" xfId="1" applyFont="1" applyFill="1" applyProtection="1"/>
    <xf numFmtId="0" fontId="53" fillId="4" borderId="0" xfId="1" applyFont="1" applyFill="1" applyProtection="1"/>
    <xf numFmtId="0" fontId="54" fillId="2" borderId="0" xfId="1" applyFont="1" applyFill="1" applyProtection="1"/>
    <xf numFmtId="0" fontId="55" fillId="2" borderId="0" xfId="1" applyFont="1" applyFill="1" applyProtection="1"/>
    <xf numFmtId="0" fontId="55" fillId="2" borderId="0" xfId="1" applyFont="1" applyFill="1" applyBorder="1" applyProtection="1"/>
    <xf numFmtId="0" fontId="53" fillId="15" borderId="0" xfId="1" applyFont="1" applyFill="1" applyProtection="1"/>
    <xf numFmtId="0" fontId="56" fillId="15" borderId="0" xfId="1" applyFont="1" applyFill="1" applyProtection="1"/>
    <xf numFmtId="0" fontId="56" fillId="2" borderId="0" xfId="1" applyFont="1" applyFill="1" applyProtection="1"/>
    <xf numFmtId="0" fontId="56" fillId="4" borderId="0" xfId="1" applyFont="1" applyFill="1" applyProtection="1"/>
    <xf numFmtId="0" fontId="56" fillId="4" borderId="0" xfId="1" applyFont="1" applyFill="1"/>
    <xf numFmtId="1" fontId="10" fillId="4" borderId="6" xfId="1" applyNumberFormat="1" applyFont="1" applyFill="1" applyBorder="1" applyAlignment="1">
      <alignment vertical="center"/>
    </xf>
    <xf numFmtId="170" fontId="5" fillId="12" borderId="19" xfId="4" applyNumberFormat="1" applyFont="1" applyFill="1" applyBorder="1" applyAlignment="1" applyProtection="1">
      <alignment horizontal="right" vertical="center"/>
    </xf>
    <xf numFmtId="170" fontId="5" fillId="12" borderId="6" xfId="4" applyNumberFormat="1" applyFont="1" applyFill="1" applyBorder="1" applyAlignment="1" applyProtection="1">
      <alignment horizontal="right" vertical="center"/>
    </xf>
    <xf numFmtId="170" fontId="13" fillId="5" borderId="2" xfId="1" applyNumberFormat="1" applyFont="1" applyFill="1" applyBorder="1" applyAlignment="1" applyProtection="1">
      <alignment horizontal="right" vertical="center" wrapText="1"/>
    </xf>
    <xf numFmtId="49" fontId="6" fillId="12" borderId="0" xfId="2" applyNumberFormat="1" applyFont="1" applyFill="1" applyBorder="1" applyAlignment="1">
      <alignment horizontal="center" vertical="center"/>
      <protection locked="0"/>
    </xf>
    <xf numFmtId="0" fontId="53" fillId="4" borderId="0" xfId="17" applyFont="1" applyFill="1" applyProtection="1"/>
    <xf numFmtId="0" fontId="53" fillId="2" borderId="0" xfId="17" applyFont="1" applyFill="1" applyProtection="1"/>
    <xf numFmtId="49" fontId="6" fillId="5" borderId="0" xfId="2" applyNumberFormat="1" applyFont="1" applyFill="1" applyBorder="1" applyAlignment="1">
      <alignment horizontal="center" vertical="center"/>
      <protection locked="0"/>
    </xf>
    <xf numFmtId="0" fontId="41" fillId="2" borderId="0" xfId="1" applyFont="1" applyFill="1" applyBorder="1" applyProtection="1"/>
    <xf numFmtId="0" fontId="5" fillId="2" borderId="18" xfId="1" applyFont="1" applyFill="1" applyBorder="1" applyAlignment="1" applyProtection="1">
      <alignment vertical="center"/>
    </xf>
    <xf numFmtId="2" fontId="33" fillId="4" borderId="18" xfId="1" applyNumberFormat="1" applyFont="1" applyFill="1" applyBorder="1" applyAlignment="1">
      <alignment vertical="center"/>
    </xf>
    <xf numFmtId="174" fontId="26" fillId="12" borderId="18" xfId="4" applyNumberFormat="1" applyFont="1" applyFill="1" applyBorder="1" applyAlignment="1" applyProtection="1">
      <alignment horizontal="right" vertical="center"/>
    </xf>
    <xf numFmtId="3" fontId="10" fillId="4" borderId="0" xfId="1" applyNumberFormat="1" applyFont="1" applyFill="1" applyBorder="1" applyAlignment="1">
      <alignment horizontal="left" vertical="center" wrapText="1"/>
    </xf>
    <xf numFmtId="3" fontId="10" fillId="4" borderId="11" xfId="1" applyNumberFormat="1" applyFont="1" applyFill="1" applyBorder="1" applyAlignment="1">
      <alignment horizontal="left" vertical="center" wrapText="1"/>
    </xf>
    <xf numFmtId="3" fontId="20" fillId="4" borderId="11" xfId="4" applyNumberFormat="1" applyFont="1" applyFill="1" applyBorder="1" applyAlignment="1" applyProtection="1">
      <alignment horizontal="right" vertical="center"/>
      <protection locked="0"/>
    </xf>
    <xf numFmtId="3" fontId="10" fillId="4" borderId="11" xfId="2" applyNumberFormat="1" applyFont="1" applyFill="1" applyBorder="1" applyAlignment="1">
      <alignment vertical="center" wrapText="1"/>
      <protection locked="0"/>
    </xf>
    <xf numFmtId="169" fontId="13" fillId="5" borderId="0" xfId="4" applyNumberFormat="1" applyFont="1" applyFill="1" applyBorder="1" applyAlignment="1" applyProtection="1">
      <alignment horizontal="right" vertical="center"/>
    </xf>
    <xf numFmtId="169" fontId="13" fillId="5" borderId="18" xfId="4" applyNumberFormat="1" applyFont="1" applyFill="1" applyBorder="1" applyAlignment="1" applyProtection="1">
      <alignment horizontal="right" vertical="center"/>
    </xf>
    <xf numFmtId="3" fontId="57" fillId="4" borderId="0" xfId="1" applyNumberFormat="1" applyFont="1" applyFill="1" applyBorder="1" applyAlignment="1">
      <alignment vertical="center"/>
    </xf>
    <xf numFmtId="174" fontId="26" fillId="5" borderId="18" xfId="4" applyNumberFormat="1" applyFont="1" applyFill="1" applyBorder="1" applyAlignment="1" applyProtection="1">
      <alignment horizontal="right" vertical="center"/>
    </xf>
    <xf numFmtId="0" fontId="53" fillId="3" borderId="0" xfId="1" applyFont="1" applyFill="1" applyProtection="1"/>
    <xf numFmtId="0" fontId="20" fillId="4" borderId="18" xfId="1" applyFont="1" applyFill="1" applyBorder="1" applyAlignment="1">
      <alignment vertical="center" wrapText="1"/>
    </xf>
    <xf numFmtId="3" fontId="20" fillId="4" borderId="18" xfId="1" applyNumberFormat="1" applyFont="1" applyFill="1" applyBorder="1" applyAlignment="1" applyProtection="1">
      <alignment horizontal="left" vertical="center" wrapText="1"/>
    </xf>
    <xf numFmtId="49" fontId="10" fillId="12" borderId="18" xfId="2" applyNumberFormat="1" applyFont="1" applyFill="1" applyBorder="1" applyAlignment="1">
      <alignment horizontal="center" vertical="center"/>
      <protection locked="0"/>
    </xf>
    <xf numFmtId="4" fontId="20" fillId="5" borderId="18" xfId="17" applyNumberFormat="1" applyFont="1" applyFill="1" applyBorder="1" applyAlignment="1" applyProtection="1">
      <alignment horizontal="right" vertical="center" wrapText="1"/>
    </xf>
    <xf numFmtId="4" fontId="13" fillId="4" borderId="0" xfId="17" applyNumberFormat="1" applyFont="1" applyFill="1" applyBorder="1" applyAlignment="1" applyProtection="1">
      <alignment horizontal="right" vertical="center" wrapText="1"/>
    </xf>
    <xf numFmtId="3" fontId="13" fillId="5" borderId="9" xfId="1" applyNumberFormat="1" applyFont="1" applyFill="1" applyBorder="1" applyAlignment="1" applyProtection="1">
      <alignment horizontal="center" vertical="center" wrapText="1"/>
    </xf>
    <xf numFmtId="3" fontId="51" fillId="5" borderId="0" xfId="1" applyNumberFormat="1" applyFont="1" applyFill="1" applyAlignment="1">
      <alignment vertical="center"/>
    </xf>
    <xf numFmtId="0" fontId="16" fillId="5" borderId="0" xfId="1" applyFont="1" applyFill="1" applyAlignment="1">
      <alignment vertical="center"/>
    </xf>
    <xf numFmtId="0" fontId="1" fillId="5" borderId="0" xfId="1" applyFont="1" applyFill="1" applyAlignment="1">
      <alignment vertical="center"/>
    </xf>
    <xf numFmtId="37" fontId="51" fillId="16" borderId="0" xfId="2" applyNumberFormat="1" applyFont="1" applyFill="1" applyAlignment="1">
      <alignment horizontal="right" vertical="center"/>
      <protection locked="0"/>
    </xf>
    <xf numFmtId="3" fontId="51" fillId="16" borderId="0" xfId="1" applyNumberFormat="1" applyFont="1" applyFill="1" applyAlignment="1">
      <alignment vertical="center"/>
    </xf>
    <xf numFmtId="0" fontId="16" fillId="16" borderId="0" xfId="1" applyFont="1" applyFill="1" applyAlignment="1">
      <alignment vertical="center"/>
    </xf>
    <xf numFmtId="0" fontId="1" fillId="16" borderId="0" xfId="1" applyFont="1" applyFill="1" applyAlignment="1">
      <alignment vertical="center"/>
    </xf>
    <xf numFmtId="3" fontId="59" fillId="2" borderId="0" xfId="1" applyNumberFormat="1" applyFont="1" applyFill="1" applyBorder="1" applyAlignment="1">
      <alignment vertical="center"/>
    </xf>
    <xf numFmtId="3" fontId="57" fillId="4" borderId="11" xfId="1" applyNumberFormat="1" applyFont="1" applyFill="1" applyBorder="1" applyAlignment="1">
      <alignment vertical="center"/>
    </xf>
    <xf numFmtId="37" fontId="10" fillId="4" borderId="11" xfId="2" applyNumberFormat="1" applyFont="1" applyFill="1" applyBorder="1" applyAlignment="1">
      <alignment vertical="center"/>
      <protection locked="0"/>
    </xf>
    <xf numFmtId="37" fontId="58" fillId="12" borderId="11" xfId="2" applyNumberFormat="1" applyFont="1" applyFill="1" applyBorder="1" applyAlignment="1">
      <alignment horizontal="left" vertical="center"/>
      <protection locked="0"/>
    </xf>
    <xf numFmtId="43" fontId="1" fillId="2" borderId="0" xfId="1" applyNumberFormat="1" applyFont="1" applyFill="1" applyProtection="1"/>
    <xf numFmtId="37" fontId="6" fillId="4" borderId="4" xfId="2" applyNumberFormat="1" applyFont="1" applyFill="1" applyBorder="1" applyAlignment="1">
      <alignment vertical="center" wrapText="1"/>
      <protection locked="0"/>
    </xf>
    <xf numFmtId="1" fontId="10" fillId="4" borderId="11" xfId="1" applyNumberFormat="1" applyFont="1" applyFill="1" applyBorder="1" applyAlignment="1">
      <alignment horizontal="left" vertical="center" wrapText="1"/>
    </xf>
    <xf numFmtId="49" fontId="6" fillId="12" borderId="0" xfId="2" applyNumberFormat="1" applyFont="1" applyFill="1" applyBorder="1" applyAlignment="1">
      <alignment horizontal="center" vertical="center"/>
      <protection locked="0"/>
    </xf>
    <xf numFmtId="0" fontId="39" fillId="14" borderId="14" xfId="1" applyFont="1" applyFill="1" applyBorder="1" applyAlignment="1" applyProtection="1">
      <alignment horizontal="center" vertical="center"/>
    </xf>
    <xf numFmtId="0" fontId="39" fillId="14" borderId="15" xfId="1" applyFont="1" applyFill="1" applyBorder="1" applyAlignment="1" applyProtection="1">
      <alignment horizontal="center" vertical="center"/>
    </xf>
    <xf numFmtId="0" fontId="39" fillId="7" borderId="13" xfId="1" applyFont="1" applyFill="1" applyBorder="1" applyAlignment="1" applyProtection="1">
      <alignment horizontal="center" vertical="center"/>
    </xf>
    <xf numFmtId="0" fontId="39" fillId="7" borderId="14" xfId="1" applyFont="1" applyFill="1" applyBorder="1" applyAlignment="1" applyProtection="1">
      <alignment horizontal="center" vertical="center"/>
    </xf>
    <xf numFmtId="0" fontId="39" fillId="7" borderId="15" xfId="1" applyFont="1" applyFill="1" applyBorder="1" applyAlignment="1" applyProtection="1">
      <alignment horizontal="center" vertical="center"/>
    </xf>
    <xf numFmtId="0" fontId="39" fillId="14" borderId="13" xfId="1" applyFont="1" applyFill="1" applyBorder="1" applyAlignment="1" applyProtection="1">
      <alignment horizontal="center" vertical="center"/>
    </xf>
  </cellXfs>
  <cellStyles count="18">
    <cellStyle name="Comma 2" xfId="4" xr:uid="{00000000-0005-0000-0000-000000000000}"/>
    <cellStyle name="Currency 2" xfId="2" xr:uid="{00000000-0005-0000-0000-000001000000}"/>
    <cellStyle name="Currency 3" xfId="13" xr:uid="{00000000-0005-0000-0000-000002000000}"/>
    <cellStyle name="Měna 2" xfId="16" xr:uid="{00000000-0005-0000-0000-000003000000}"/>
    <cellStyle name="měny 2 29" xfId="10" xr:uid="{00000000-0005-0000-0000-000004000000}"/>
    <cellStyle name="měny 2 31" xfId="11" xr:uid="{00000000-0005-0000-0000-000005000000}"/>
    <cellStyle name="měny 2 32" xfId="12" xr:uid="{00000000-0005-0000-0000-000006000000}"/>
    <cellStyle name="měny 2 5" xfId="8" xr:uid="{00000000-0005-0000-0000-000007000000}"/>
    <cellStyle name="měny 2 6" xfId="9" xr:uid="{00000000-0005-0000-0000-000008000000}"/>
    <cellStyle name="Normal" xfId="0" builtinId="0"/>
    <cellStyle name="Normal 2" xfId="1" xr:uid="{00000000-0005-0000-0000-00000A000000}"/>
    <cellStyle name="Normal 2 2" xfId="17" xr:uid="{00000000-0005-0000-0000-00000B000000}"/>
    <cellStyle name="Normal 3" xfId="3" xr:uid="{00000000-0005-0000-0000-00000C000000}"/>
    <cellStyle name="normal 4" xfId="6" xr:uid="{00000000-0005-0000-0000-00000D000000}"/>
    <cellStyle name="Normální 2" xfId="15" xr:uid="{00000000-0005-0000-0000-00000E000000}"/>
    <cellStyle name="normální 2 4" xfId="7" xr:uid="{00000000-0005-0000-0000-00000F000000}"/>
    <cellStyle name="Percent" xfId="14" builtinId="5"/>
    <cellStyle name="Percent 2" xfId="5" xr:uid="{00000000-0005-0000-0000-000011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Roční náklady</a:t>
            </a:r>
            <a:r>
              <a:rPr lang="en-US"/>
              <a:t> celkem</a:t>
            </a:r>
            <a:endParaRPr lang="cs-CZ"/>
          </a:p>
        </c:rich>
      </c:tx>
      <c:layout>
        <c:manualLayout>
          <c:xMode val="edge"/>
          <c:yMode val="edge"/>
          <c:x val="0.25103040244969382"/>
          <c:y val="3.2407407407407406E-2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421633271450909"/>
          <c:y val="0.16351695233594304"/>
          <c:w val="0.60054440693427436"/>
          <c:h val="0.61758020261511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Výsledky porovnání'!$C$5</c:f>
              <c:strCache>
                <c:ptCount val="1"/>
                <c:pt idx="0">
                  <c:v>Náklady on-premise řešení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'4. Výsledky porovnání'!$E$114:$I$114</c:f>
              <c:numCache>
                <c:formatCode>#,##0_);\(#,##0\)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8-4C56-9E82-DDBF121D6993}"/>
            </c:ext>
          </c:extLst>
        </c:ser>
        <c:ser>
          <c:idx val="2"/>
          <c:order val="1"/>
          <c:tx>
            <c:strRef>
              <c:f>'4. Výsledky porovnání'!$C$6</c:f>
              <c:strCache>
                <c:ptCount val="1"/>
                <c:pt idx="0">
                  <c:v>Náklady cloudového řešení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'4. Výsledky porovnání'!$E$155:$I$155</c:f>
              <c:numCache>
                <c:formatCode>#,##0_);\(#,##0\)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8-4C56-9E82-DDBF121D6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77544"/>
        <c:axId val="150003160"/>
      </c:barChart>
      <c:catAx>
        <c:axId val="9977754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Rok</a:t>
                </a:r>
              </a:p>
            </c:rich>
          </c:tx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0003160"/>
        <c:crosses val="autoZero"/>
        <c:auto val="1"/>
        <c:lblAlgn val="ctr"/>
        <c:lblOffset val="100"/>
        <c:noMultiLvlLbl val="0"/>
      </c:catAx>
      <c:valAx>
        <c:axId val="1500031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Částka</a:t>
                </a:r>
                <a:r>
                  <a:rPr lang="cs-CZ" baseline="0"/>
                  <a:t> v Kč</a:t>
                </a:r>
                <a:r>
                  <a:rPr lang="en-US" baseline="0"/>
                  <a:t> (tis.)</a:t>
                </a:r>
                <a:endParaRPr lang="cs-CZ"/>
              </a:p>
            </c:rich>
          </c:tx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cs-CZ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775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08486439195101"/>
          <c:y val="0.16319517351997667"/>
          <c:w val="0.18958377077865263"/>
          <c:h val="0.3923625692621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433" l="0.70000000000000129" r="0.70000000000000129" t="0.75000000000000433" header="0.30000000000000016" footer="0.300000000000000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Roční náklady</a:t>
            </a:r>
            <a:r>
              <a:rPr lang="en-US"/>
              <a:t> na 1</a:t>
            </a:r>
            <a:r>
              <a:rPr lang="en-US" baseline="0"/>
              <a:t> u</a:t>
            </a:r>
            <a:r>
              <a:rPr lang="cs-CZ" baseline="0"/>
              <a:t>živatele</a:t>
            </a:r>
            <a:endParaRPr lang="cs-CZ"/>
          </a:p>
        </c:rich>
      </c:tx>
      <c:layout>
        <c:manualLayout>
          <c:xMode val="edge"/>
          <c:yMode val="edge"/>
          <c:x val="0.25103040244969382"/>
          <c:y val="3.240740740740740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1633271450909"/>
          <c:y val="0.16351695233594304"/>
          <c:w val="0.60054440693427436"/>
          <c:h val="0.61758020261511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Výsledky porovnání'!$C$5</c:f>
              <c:strCache>
                <c:ptCount val="1"/>
                <c:pt idx="0">
                  <c:v>Náklady on-premise řešení</c:v>
                </c:pt>
              </c:strCache>
            </c:strRef>
          </c:tx>
          <c:invertIfNegative val="0"/>
          <c:val>
            <c:numRef>
              <c:f>'4. Výsledky porovnání'!$E$115:$I$115</c:f>
              <c:numCache>
                <c:formatCode>#,##0_);\(#,##0\)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D-477F-930C-9DE69029E4AA}"/>
            </c:ext>
          </c:extLst>
        </c:ser>
        <c:ser>
          <c:idx val="2"/>
          <c:order val="1"/>
          <c:tx>
            <c:strRef>
              <c:f>'4. Výsledky porovnání'!$C$6</c:f>
              <c:strCache>
                <c:ptCount val="1"/>
                <c:pt idx="0">
                  <c:v>Náklady cloudového řešení</c:v>
                </c:pt>
              </c:strCache>
            </c:strRef>
          </c:tx>
          <c:invertIfNegative val="0"/>
          <c:val>
            <c:numRef>
              <c:f>'4. Výsledky porovnání'!$E$156:$I$156</c:f>
              <c:numCache>
                <c:formatCode>#,##0_);\(#,##0\)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7D-477F-930C-9DE69029E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78416"/>
        <c:axId val="150233608"/>
      </c:barChart>
      <c:catAx>
        <c:axId val="150778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Rok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50233608"/>
        <c:crosses val="autoZero"/>
        <c:auto val="1"/>
        <c:lblAlgn val="ctr"/>
        <c:lblOffset val="100"/>
        <c:noMultiLvlLbl val="0"/>
      </c:catAx>
      <c:valAx>
        <c:axId val="150233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Částka</a:t>
                </a:r>
                <a:r>
                  <a:rPr lang="cs-CZ" baseline="0"/>
                  <a:t> v Kč </a:t>
                </a:r>
                <a:endParaRPr lang="cs-CZ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crossAx val="15077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08486439195101"/>
          <c:y val="0.16319517351997667"/>
          <c:w val="0.18958377077865263"/>
          <c:h val="0.392362569262175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129" r="0.70000000000000129" t="0.75000000000000433" header="0.30000000000000016" footer="0.30000000000000016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TCO</a:t>
            </a:r>
            <a:r>
              <a:rPr lang="cs-CZ" baseline="0"/>
              <a:t> za 5 let celkem</a:t>
            </a:r>
            <a:endParaRPr lang="cs-CZ"/>
          </a:p>
        </c:rich>
      </c:tx>
      <c:layout>
        <c:manualLayout>
          <c:xMode val="edge"/>
          <c:yMode val="edge"/>
          <c:x val="0.25103040244969382"/>
          <c:y val="3.2407407407407406E-2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421633271450909"/>
          <c:y val="0.16351695233594304"/>
          <c:w val="0.60054440693427436"/>
          <c:h val="0.61758020261511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Výsledky porovnání'!$C$5</c:f>
              <c:strCache>
                <c:ptCount val="1"/>
                <c:pt idx="0">
                  <c:v>Náklady on-premise řešení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Výsledky porovnání'!$K$4</c:f>
              <c:numCache>
                <c:formatCode>General</c:formatCode>
                <c:ptCount val="1"/>
                <c:pt idx="0">
                  <c:v>5</c:v>
                </c:pt>
              </c:numCache>
            </c:numRef>
          </c:cat>
          <c:val>
            <c:numRef>
              <c:f>'4. Výsledky porovnání'!$J$114</c:f>
              <c:numCache>
                <c:formatCode>#,##0_);\(#,##0\)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C-4C4E-A3F5-B1D0E9269A54}"/>
            </c:ext>
          </c:extLst>
        </c:ser>
        <c:ser>
          <c:idx val="2"/>
          <c:order val="1"/>
          <c:tx>
            <c:strRef>
              <c:f>'4. Výsledky porovnání'!$C$6</c:f>
              <c:strCache>
                <c:ptCount val="1"/>
                <c:pt idx="0">
                  <c:v>Náklady cloudového řešení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 Výsledky porovnání'!$K$4</c:f>
              <c:numCache>
                <c:formatCode>General</c:formatCode>
                <c:ptCount val="1"/>
                <c:pt idx="0">
                  <c:v>5</c:v>
                </c:pt>
              </c:numCache>
            </c:numRef>
          </c:cat>
          <c:val>
            <c:numRef>
              <c:f>'4. Výsledky porovnání'!$J$155</c:f>
              <c:numCache>
                <c:formatCode>#,##0_);\(#,##0\)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C-4C4E-A3F5-B1D0E92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50480"/>
        <c:axId val="152146432"/>
      </c:barChart>
      <c:catAx>
        <c:axId val="1524504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Po</a:t>
                </a:r>
                <a:r>
                  <a:rPr lang="cs-CZ"/>
                  <a:t>čet</a:t>
                </a:r>
                <a:r>
                  <a:rPr lang="cs-CZ" baseline="0"/>
                  <a:t> let</a:t>
                </a:r>
                <a:endParaRPr lang="cs-CZ"/>
              </a:p>
            </c:rich>
          </c:tx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146432"/>
        <c:crosses val="autoZero"/>
        <c:auto val="1"/>
        <c:lblAlgn val="ctr"/>
        <c:lblOffset val="100"/>
        <c:noMultiLvlLbl val="0"/>
      </c:catAx>
      <c:valAx>
        <c:axId val="15214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Částka</a:t>
                </a:r>
                <a:r>
                  <a:rPr lang="cs-CZ" baseline="0"/>
                  <a:t> v Kč</a:t>
                </a:r>
                <a:r>
                  <a:rPr lang="en-US" baseline="0"/>
                  <a:t> (tis.)</a:t>
                </a:r>
                <a:endParaRPr lang="cs-CZ"/>
              </a:p>
            </c:rich>
          </c:tx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cs-CZ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4504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08486439195101"/>
          <c:y val="0.16319517351997667"/>
          <c:w val="0.18958377077865263"/>
          <c:h val="0.3923625692621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433" l="0.70000000000000129" r="0.70000000000000129" t="0.75000000000000433" header="0.30000000000000016" footer="0.3000000000000001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TCO</a:t>
            </a:r>
            <a:r>
              <a:rPr lang="cs-CZ" baseline="0"/>
              <a:t> za 5 let na 1 uživatele</a:t>
            </a:r>
            <a:endParaRPr lang="cs-CZ"/>
          </a:p>
        </c:rich>
      </c:tx>
      <c:layout>
        <c:manualLayout>
          <c:xMode val="edge"/>
          <c:yMode val="edge"/>
          <c:x val="0.25103040244969382"/>
          <c:y val="3.2407407407407406E-2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421633271450909"/>
          <c:y val="0.16351695233594304"/>
          <c:w val="0.60054440693427436"/>
          <c:h val="0.61758020261511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Výsledky porovnání'!$C$5</c:f>
              <c:strCache>
                <c:ptCount val="1"/>
                <c:pt idx="0">
                  <c:v>Náklady on-premise řešení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Výsledky porovnání'!$K$4</c:f>
              <c:numCache>
                <c:formatCode>General</c:formatCode>
                <c:ptCount val="1"/>
                <c:pt idx="0">
                  <c:v>5</c:v>
                </c:pt>
              </c:numCache>
            </c:numRef>
          </c:cat>
          <c:val>
            <c:numRef>
              <c:f>'4. Výsledky porovnání'!$J$115</c:f>
              <c:numCache>
                <c:formatCode>#,##0_);\(#,##0\)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2-4C17-AEDD-6BD2CE51E1E1}"/>
            </c:ext>
          </c:extLst>
        </c:ser>
        <c:ser>
          <c:idx val="2"/>
          <c:order val="1"/>
          <c:tx>
            <c:strRef>
              <c:f>'4. Výsledky porovnání'!$C$6</c:f>
              <c:strCache>
                <c:ptCount val="1"/>
                <c:pt idx="0">
                  <c:v>Náklady cloudového řešení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 Výsledky porovnání'!$K$4</c:f>
              <c:numCache>
                <c:formatCode>General</c:formatCode>
                <c:ptCount val="1"/>
                <c:pt idx="0">
                  <c:v>5</c:v>
                </c:pt>
              </c:numCache>
            </c:numRef>
          </c:cat>
          <c:val>
            <c:numRef>
              <c:f>'4. Výsledky porovnání'!$J$156</c:f>
              <c:numCache>
                <c:formatCode>#,##0_);\(#,##0\)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2-4C17-AEDD-6BD2CE51E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17936"/>
        <c:axId val="167018320"/>
      </c:barChart>
      <c:catAx>
        <c:axId val="16701793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Po</a:t>
                </a:r>
                <a:r>
                  <a:rPr lang="cs-CZ"/>
                  <a:t>čet</a:t>
                </a:r>
                <a:r>
                  <a:rPr lang="cs-CZ" baseline="0"/>
                  <a:t> let</a:t>
                </a:r>
                <a:endParaRPr lang="cs-CZ"/>
              </a:p>
            </c:rich>
          </c:tx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18320"/>
        <c:crosses val="autoZero"/>
        <c:auto val="1"/>
        <c:lblAlgn val="ctr"/>
        <c:lblOffset val="100"/>
        <c:noMultiLvlLbl val="0"/>
      </c:catAx>
      <c:valAx>
        <c:axId val="1670183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Částka</a:t>
                </a:r>
                <a:r>
                  <a:rPr lang="cs-CZ" baseline="0"/>
                  <a:t> v Kč </a:t>
                </a:r>
                <a:endParaRPr lang="cs-CZ"/>
              </a:p>
            </c:rich>
          </c:tx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cs-CZ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179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08486439195101"/>
          <c:y val="0.16319517351997667"/>
          <c:w val="0.18958377077865263"/>
          <c:h val="0.3923625692621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433" l="0.70000000000000129" r="0.70000000000000129" t="0.75000000000000433" header="0.30000000000000016" footer="0.30000000000000016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24</xdr:row>
      <xdr:rowOff>114300</xdr:rowOff>
    </xdr:from>
    <xdr:to>
      <xdr:col>4</xdr:col>
      <xdr:colOff>161926</xdr:colOff>
      <xdr:row>24</xdr:row>
      <xdr:rowOff>2857500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24</xdr:row>
      <xdr:rowOff>114300</xdr:rowOff>
    </xdr:from>
    <xdr:to>
      <xdr:col>9</xdr:col>
      <xdr:colOff>790575</xdr:colOff>
      <xdr:row>24</xdr:row>
      <xdr:rowOff>2857500</xdr:rowOff>
    </xdr:to>
    <xdr:graphicFrame macro="">
      <xdr:nvGraphicFramePr>
        <xdr:cNvPr id="3" name="Chart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4</xdr:col>
      <xdr:colOff>152400</xdr:colOff>
      <xdr:row>24</xdr:row>
      <xdr:rowOff>47625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266699</xdr:colOff>
      <xdr:row>21</xdr:row>
      <xdr:rowOff>88900</xdr:rowOff>
    </xdr:from>
    <xdr:to>
      <xdr:col>9</xdr:col>
      <xdr:colOff>781049</xdr:colOff>
      <xdr:row>24</xdr:row>
      <xdr:rowOff>41275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z50401\Projekty\MinVnitra\G-Cloud\TCO\UseCases\2017-12-15_%20eGC%20Cloud%20kalkulator_v1.1%20(dodatek%20k%20Metodice)%20IaaS%20verze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Úvodní parametry"/>
      <sheetName val="2. Vstupní data on-premise "/>
      <sheetName val="tabulky"/>
      <sheetName val="3. Vstupní data cloud"/>
      <sheetName val="4. Výsledky porovnání"/>
    </sheetNames>
    <sheetDataSet>
      <sheetData sheetId="0">
        <row r="6">
          <cell r="D6">
            <v>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  <pageSetUpPr fitToPage="1"/>
  </sheetPr>
  <dimension ref="A1:M50"/>
  <sheetViews>
    <sheetView tabSelected="1" zoomScale="110" zoomScaleNormal="110" zoomScaleSheetLayoutView="120" workbookViewId="0"/>
  </sheetViews>
  <sheetFormatPr defaultColWidth="9" defaultRowHeight="15" x14ac:dyDescent="0.25"/>
  <cols>
    <col min="1" max="1" width="1.5" style="393" customWidth="1"/>
    <col min="2" max="2" width="35.875" style="168" customWidth="1"/>
    <col min="3" max="3" width="13" style="168" customWidth="1"/>
    <col min="4" max="5" width="11.625" style="168" customWidth="1"/>
    <col min="6" max="6" width="44" style="168" customWidth="1"/>
    <col min="7" max="9" width="9" style="156"/>
    <col min="10" max="13" width="9" style="148"/>
    <col min="14" max="16384" width="9" style="7"/>
  </cols>
  <sheetData>
    <row r="1" spans="2:6" ht="18.75" x14ac:dyDescent="0.25">
      <c r="B1" s="167" t="s">
        <v>140</v>
      </c>
    </row>
    <row r="2" spans="2:6" ht="15.75" thickBot="1" x14ac:dyDescent="0.3">
      <c r="B2" s="496"/>
      <c r="C2" s="169"/>
      <c r="D2" s="171"/>
    </row>
    <row r="3" spans="2:6" ht="24" customHeight="1" thickTop="1" thickBot="1" x14ac:dyDescent="0.3">
      <c r="B3" s="513" t="s">
        <v>456</v>
      </c>
      <c r="C3" s="515" t="s">
        <v>457</v>
      </c>
      <c r="D3" s="514"/>
      <c r="E3" s="518" t="s">
        <v>458</v>
      </c>
      <c r="F3" s="518"/>
    </row>
    <row r="4" spans="2:6" ht="16.5" thickTop="1" thickBot="1" x14ac:dyDescent="0.3">
      <c r="B4" s="496"/>
      <c r="C4" s="169"/>
      <c r="D4" s="171"/>
    </row>
    <row r="5" spans="2:6" ht="15.75" thickBot="1" x14ac:dyDescent="0.3">
      <c r="B5" s="11" t="s">
        <v>202</v>
      </c>
      <c r="C5" s="11" t="s">
        <v>212</v>
      </c>
      <c r="D5" s="149" t="s">
        <v>145</v>
      </c>
      <c r="E5" s="149" t="s">
        <v>126</v>
      </c>
      <c r="F5" s="149"/>
    </row>
    <row r="6" spans="2:6" x14ac:dyDescent="0.25">
      <c r="B6" s="172" t="s">
        <v>141</v>
      </c>
      <c r="C6" s="173"/>
      <c r="D6" s="174"/>
      <c r="E6" s="175"/>
      <c r="F6" s="175"/>
    </row>
    <row r="7" spans="2:6" x14ac:dyDescent="0.25">
      <c r="B7" s="176" t="s">
        <v>147</v>
      </c>
      <c r="C7" s="177"/>
      <c r="D7" s="174"/>
      <c r="E7" s="175"/>
      <c r="F7" s="175"/>
    </row>
    <row r="8" spans="2:6" x14ac:dyDescent="0.25">
      <c r="B8" s="92" t="s">
        <v>326</v>
      </c>
      <c r="C8" s="178" t="s">
        <v>325</v>
      </c>
      <c r="D8" s="179">
        <v>5</v>
      </c>
      <c r="E8" s="180"/>
      <c r="F8" s="180"/>
    </row>
    <row r="9" spans="2:6" x14ac:dyDescent="0.25">
      <c r="B9" s="92" t="s">
        <v>143</v>
      </c>
      <c r="C9" s="178"/>
      <c r="D9" s="170" t="s">
        <v>144</v>
      </c>
      <c r="E9" s="180"/>
      <c r="F9" s="180"/>
    </row>
    <row r="10" spans="2:6" x14ac:dyDescent="0.25">
      <c r="B10" s="92" t="s">
        <v>243</v>
      </c>
      <c r="C10" s="178" t="s">
        <v>245</v>
      </c>
      <c r="D10" s="181">
        <v>1728</v>
      </c>
      <c r="E10" s="180" t="s">
        <v>269</v>
      </c>
      <c r="F10" s="180"/>
    </row>
    <row r="11" spans="2:6" x14ac:dyDescent="0.25">
      <c r="B11" s="99" t="s">
        <v>146</v>
      </c>
      <c r="C11" s="182"/>
      <c r="D11" s="183" t="s">
        <v>142</v>
      </c>
      <c r="E11" s="246"/>
      <c r="F11" s="246"/>
    </row>
    <row r="12" spans="2:6" ht="15.75" thickBot="1" x14ac:dyDescent="0.3">
      <c r="B12" s="133"/>
      <c r="C12" s="169"/>
      <c r="D12" s="171"/>
    </row>
    <row r="13" spans="2:6" ht="15.75" thickBot="1" x14ac:dyDescent="0.3">
      <c r="B13" s="11" t="s">
        <v>148</v>
      </c>
      <c r="C13" s="11" t="s">
        <v>107</v>
      </c>
      <c r="D13" s="149" t="s">
        <v>145</v>
      </c>
      <c r="E13" s="149" t="s">
        <v>126</v>
      </c>
      <c r="F13" s="149"/>
    </row>
    <row r="14" spans="2:6" x14ac:dyDescent="0.25">
      <c r="B14" s="92" t="s">
        <v>149</v>
      </c>
      <c r="C14" s="178" t="s">
        <v>112</v>
      </c>
      <c r="D14" s="241">
        <v>25.704999999999998</v>
      </c>
      <c r="E14" s="180" t="s">
        <v>427</v>
      </c>
      <c r="F14" s="180"/>
    </row>
    <row r="15" spans="2:6" x14ac:dyDescent="0.25">
      <c r="B15" s="99" t="s">
        <v>150</v>
      </c>
      <c r="C15" s="182" t="s">
        <v>112</v>
      </c>
      <c r="D15" s="247">
        <v>20.638000000000002</v>
      </c>
      <c r="E15" s="478" t="s">
        <v>427</v>
      </c>
      <c r="F15" s="478"/>
    </row>
    <row r="16" spans="2:6" ht="15.75" thickBot="1" x14ac:dyDescent="0.3"/>
    <row r="17" spans="1:13" ht="15.75" thickBot="1" x14ac:dyDescent="0.3">
      <c r="B17" s="11" t="s">
        <v>108</v>
      </c>
      <c r="C17" s="150"/>
      <c r="D17" s="151"/>
      <c r="E17" s="151"/>
      <c r="F17" s="149"/>
    </row>
    <row r="18" spans="1:13" x14ac:dyDescent="0.25">
      <c r="B18" s="98" t="s">
        <v>113</v>
      </c>
      <c r="C18" s="16" t="s">
        <v>107</v>
      </c>
      <c r="D18" s="17"/>
      <c r="E18" s="17" t="s">
        <v>137</v>
      </c>
      <c r="F18" s="16" t="s">
        <v>126</v>
      </c>
    </row>
    <row r="19" spans="1:13" x14ac:dyDescent="0.25">
      <c r="B19" s="153" t="s">
        <v>274</v>
      </c>
      <c r="C19" s="41" t="s">
        <v>224</v>
      </c>
      <c r="D19" s="185"/>
      <c r="E19" s="494">
        <f>SUM(E44)/FTP</f>
        <v>453.24074074074076</v>
      </c>
      <c r="F19" s="152"/>
    </row>
    <row r="20" spans="1:13" x14ac:dyDescent="0.25">
      <c r="B20" s="153" t="s">
        <v>276</v>
      </c>
      <c r="C20" s="41" t="s">
        <v>224</v>
      </c>
      <c r="D20" s="185"/>
      <c r="E20" s="494">
        <f>SUM(E45)/FTP</f>
        <v>434.62962962962962</v>
      </c>
      <c r="F20" s="152"/>
    </row>
    <row r="21" spans="1:13" ht="15.75" thickBot="1" x14ac:dyDescent="0.3">
      <c r="B21" s="249" t="s">
        <v>277</v>
      </c>
      <c r="C21" s="250" t="s">
        <v>224</v>
      </c>
      <c r="D21" s="257"/>
      <c r="E21" s="495">
        <f>SUM(E46)/FTP</f>
        <v>409.60648148148147</v>
      </c>
      <c r="F21" s="255"/>
    </row>
    <row r="22" spans="1:13" ht="15.75" thickTop="1" x14ac:dyDescent="0.25">
      <c r="B22" s="242"/>
      <c r="C22" s="92"/>
      <c r="D22" s="243"/>
      <c r="E22" s="243"/>
      <c r="F22" s="248"/>
    </row>
    <row r="24" spans="1:13" x14ac:dyDescent="0.25">
      <c r="B24" s="98" t="s">
        <v>234</v>
      </c>
      <c r="C24" s="16" t="s">
        <v>107</v>
      </c>
      <c r="D24" s="17"/>
      <c r="E24" s="17" t="s">
        <v>137</v>
      </c>
      <c r="F24" s="16" t="s">
        <v>126</v>
      </c>
    </row>
    <row r="25" spans="1:13" s="39" customFormat="1" x14ac:dyDescent="0.25">
      <c r="A25" s="394"/>
      <c r="B25" s="186" t="s">
        <v>393</v>
      </c>
      <c r="C25" s="37"/>
      <c r="D25" s="38"/>
      <c r="E25" s="38"/>
      <c r="F25" s="37"/>
      <c r="G25" s="157"/>
      <c r="H25" s="157"/>
      <c r="I25" s="157"/>
      <c r="J25" s="155"/>
      <c r="K25" s="155"/>
      <c r="L25" s="155"/>
      <c r="M25" s="155"/>
    </row>
    <row r="26" spans="1:13" x14ac:dyDescent="0.25">
      <c r="B26" s="242" t="s">
        <v>278</v>
      </c>
      <c r="C26" s="92" t="s">
        <v>279</v>
      </c>
      <c r="D26" s="243"/>
      <c r="E26" s="188">
        <v>40000</v>
      </c>
      <c r="F26" s="248"/>
    </row>
    <row r="27" spans="1:13" x14ac:dyDescent="0.25">
      <c r="B27" s="242" t="s">
        <v>236</v>
      </c>
      <c r="C27" s="92" t="s">
        <v>235</v>
      </c>
      <c r="D27" s="243"/>
      <c r="E27" s="187">
        <f>E26*12*1.34</f>
        <v>643200</v>
      </c>
      <c r="F27" s="248" t="s">
        <v>242</v>
      </c>
    </row>
    <row r="28" spans="1:13" ht="25.5" x14ac:dyDescent="0.25">
      <c r="B28" s="242" t="s">
        <v>244</v>
      </c>
      <c r="C28" s="92" t="s">
        <v>237</v>
      </c>
      <c r="D28" s="243"/>
      <c r="E28" s="188">
        <v>10000</v>
      </c>
      <c r="F28" s="248" t="s">
        <v>238</v>
      </c>
    </row>
    <row r="29" spans="1:13" x14ac:dyDescent="0.25">
      <c r="B29" s="242" t="s">
        <v>239</v>
      </c>
      <c r="C29" s="92" t="s">
        <v>237</v>
      </c>
      <c r="D29" s="243"/>
      <c r="E29" s="188">
        <v>60000</v>
      </c>
      <c r="F29" s="245" t="s">
        <v>240</v>
      </c>
    </row>
    <row r="30" spans="1:13" ht="3" customHeight="1" x14ac:dyDescent="0.25">
      <c r="B30" s="242"/>
      <c r="C30" s="92"/>
      <c r="D30" s="243"/>
      <c r="E30" s="243"/>
      <c r="F30" s="245"/>
    </row>
    <row r="31" spans="1:13" x14ac:dyDescent="0.25">
      <c r="B31" s="186" t="s">
        <v>395</v>
      </c>
      <c r="C31" s="37"/>
      <c r="D31" s="38"/>
      <c r="E31" s="38"/>
      <c r="F31" s="37"/>
    </row>
    <row r="32" spans="1:13" x14ac:dyDescent="0.25">
      <c r="B32" s="242" t="s">
        <v>278</v>
      </c>
      <c r="C32" s="92" t="s">
        <v>279</v>
      </c>
      <c r="D32" s="243"/>
      <c r="E32" s="188">
        <v>38000</v>
      </c>
      <c r="F32" s="248"/>
    </row>
    <row r="33" spans="2:6" x14ac:dyDescent="0.25">
      <c r="B33" s="242" t="s">
        <v>236</v>
      </c>
      <c r="C33" s="92" t="s">
        <v>235</v>
      </c>
      <c r="D33" s="243"/>
      <c r="E33" s="187">
        <f>E32*12*1.34</f>
        <v>611040</v>
      </c>
      <c r="F33" s="248" t="s">
        <v>242</v>
      </c>
    </row>
    <row r="34" spans="2:6" ht="25.5" x14ac:dyDescent="0.25">
      <c r="B34" s="242" t="s">
        <v>244</v>
      </c>
      <c r="C34" s="92" t="s">
        <v>237</v>
      </c>
      <c r="D34" s="243"/>
      <c r="E34" s="188">
        <v>10000</v>
      </c>
      <c r="F34" s="248" t="s">
        <v>238</v>
      </c>
    </row>
    <row r="35" spans="2:6" x14ac:dyDescent="0.25">
      <c r="B35" s="242" t="s">
        <v>239</v>
      </c>
      <c r="C35" s="92" t="s">
        <v>237</v>
      </c>
      <c r="D35" s="243"/>
      <c r="E35" s="188">
        <v>60000</v>
      </c>
      <c r="F35" s="245" t="s">
        <v>240</v>
      </c>
    </row>
    <row r="36" spans="2:6" ht="3" customHeight="1" x14ac:dyDescent="0.25">
      <c r="B36" s="242"/>
      <c r="C36" s="92"/>
      <c r="D36" s="243"/>
      <c r="E36" s="243"/>
      <c r="F36" s="245"/>
    </row>
    <row r="37" spans="2:6" x14ac:dyDescent="0.25">
      <c r="B37" s="186" t="s">
        <v>394</v>
      </c>
      <c r="C37" s="37"/>
      <c r="D37" s="38"/>
      <c r="E37" s="38"/>
      <c r="F37" s="37"/>
    </row>
    <row r="38" spans="2:6" x14ac:dyDescent="0.25">
      <c r="B38" s="242" t="s">
        <v>278</v>
      </c>
      <c r="C38" s="92" t="s">
        <v>279</v>
      </c>
      <c r="D38" s="243"/>
      <c r="E38" s="188">
        <v>35000</v>
      </c>
      <c r="F38" s="248"/>
    </row>
    <row r="39" spans="2:6" x14ac:dyDescent="0.25">
      <c r="B39" s="242" t="s">
        <v>236</v>
      </c>
      <c r="C39" s="92" t="s">
        <v>235</v>
      </c>
      <c r="D39" s="243"/>
      <c r="E39" s="187">
        <f>E38*12*1.34</f>
        <v>562800</v>
      </c>
      <c r="F39" s="248" t="s">
        <v>242</v>
      </c>
    </row>
    <row r="40" spans="2:6" ht="25.5" x14ac:dyDescent="0.25">
      <c r="B40" s="242" t="s">
        <v>244</v>
      </c>
      <c r="C40" s="92" t="s">
        <v>237</v>
      </c>
      <c r="D40" s="243"/>
      <c r="E40" s="188">
        <v>15000</v>
      </c>
      <c r="F40" s="248" t="s">
        <v>238</v>
      </c>
    </row>
    <row r="41" spans="2:6" x14ac:dyDescent="0.25">
      <c r="B41" s="242" t="s">
        <v>239</v>
      </c>
      <c r="C41" s="92" t="s">
        <v>237</v>
      </c>
      <c r="D41" s="243"/>
      <c r="E41" s="188">
        <v>60000</v>
      </c>
      <c r="F41" s="245" t="s">
        <v>240</v>
      </c>
    </row>
    <row r="42" spans="2:6" ht="1.5" customHeight="1" thickBot="1" x14ac:dyDescent="0.3">
      <c r="B42" s="490"/>
      <c r="C42" s="133"/>
      <c r="D42" s="243"/>
      <c r="E42" s="243"/>
      <c r="F42" s="245"/>
    </row>
    <row r="43" spans="2:6" ht="27" thickTop="1" thickBot="1" x14ac:dyDescent="0.3">
      <c r="B43" s="491" t="s">
        <v>317</v>
      </c>
      <c r="C43" s="104" t="s">
        <v>235</v>
      </c>
      <c r="D43" s="492"/>
      <c r="E43" s="256">
        <v>70000</v>
      </c>
      <c r="F43" s="493" t="s">
        <v>241</v>
      </c>
    </row>
    <row r="44" spans="2:6" ht="15.75" thickTop="1" x14ac:dyDescent="0.25">
      <c r="B44" s="153" t="s">
        <v>271</v>
      </c>
      <c r="C44" s="41" t="s">
        <v>235</v>
      </c>
      <c r="D44" s="154"/>
      <c r="E44" s="184">
        <f>E27+E28+E29+E43</f>
        <v>783200</v>
      </c>
      <c r="F44" s="189"/>
    </row>
    <row r="45" spans="2:6" x14ac:dyDescent="0.25">
      <c r="B45" s="153" t="s">
        <v>272</v>
      </c>
      <c r="C45" s="41" t="s">
        <v>235</v>
      </c>
      <c r="D45" s="154"/>
      <c r="E45" s="184">
        <f>E33+E34+E35+E43</f>
        <v>751040</v>
      </c>
      <c r="F45" s="189"/>
    </row>
    <row r="46" spans="2:6" ht="15.75" thickBot="1" x14ac:dyDescent="0.3">
      <c r="B46" s="249" t="s">
        <v>273</v>
      </c>
      <c r="C46" s="250" t="s">
        <v>235</v>
      </c>
      <c r="D46" s="252"/>
      <c r="E46" s="251">
        <f>E39+E40+E41+E43</f>
        <v>707800</v>
      </c>
      <c r="F46" s="253"/>
    </row>
    <row r="47" spans="2:6" ht="15.75" thickTop="1" x14ac:dyDescent="0.25"/>
    <row r="48" spans="2:6" x14ac:dyDescent="0.25">
      <c r="B48" s="98" t="s">
        <v>265</v>
      </c>
      <c r="C48" s="16" t="s">
        <v>107</v>
      </c>
      <c r="D48" s="17"/>
      <c r="E48" s="17" t="s">
        <v>137</v>
      </c>
      <c r="F48" s="16" t="s">
        <v>126</v>
      </c>
    </row>
    <row r="49" spans="2:6" ht="15.75" thickBot="1" x14ac:dyDescent="0.3">
      <c r="B49" s="249" t="s">
        <v>268</v>
      </c>
      <c r="C49" s="250" t="s">
        <v>266</v>
      </c>
      <c r="D49" s="252"/>
      <c r="E49" s="254">
        <v>1</v>
      </c>
      <c r="F49" s="255" t="s">
        <v>267</v>
      </c>
    </row>
    <row r="50" spans="2:6" ht="15.75" thickTop="1" x14ac:dyDescent="0.25">
      <c r="B50" s="242"/>
      <c r="C50" s="92"/>
      <c r="D50" s="243"/>
      <c r="E50" s="244"/>
      <c r="F50" s="245"/>
    </row>
  </sheetData>
  <mergeCells count="1">
    <mergeCell ref="E3:F3"/>
  </mergeCells>
  <dataValidations count="2">
    <dataValidation type="list" allowBlank="1" showInputMessage="1" showErrorMessage="1" sqref="D8" xr:uid="{00000000-0002-0000-0000-000000000000}">
      <formula1>DélkaProjektu</formula1>
    </dataValidation>
    <dataValidation type="list" allowBlank="1" showInputMessage="1" showErrorMessage="1" sqref="C3" xr:uid="{120ED94B-1198-4859-B61A-D04ABA796CE0}">
      <formula1>NákladyDPH</formula1>
    </dataValidation>
  </dataValidations>
  <printOptions horizontalCentered="1"/>
  <pageMargins left="0" right="0" top="0.74803149606299213" bottom="0.15748031496062992" header="0.19685039370078741" footer="0.11811023622047245"/>
  <pageSetup paperSize="9" scale="79" orientation="portrait" r:id="rId1"/>
  <headerFooter>
    <oddFooter>&amp;L&amp;"Calibri,Obyčejné"&amp;9Základní parametry řešení - vstupy&amp;C&amp;"Calibri,Obyčejné"&amp;9&amp;P/&amp;N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theme="8" tint="0.79998168889431442"/>
  </sheetPr>
  <dimension ref="A1:J15"/>
  <sheetViews>
    <sheetView workbookViewId="0">
      <selection activeCell="A14" sqref="A14:A15"/>
    </sheetView>
  </sheetViews>
  <sheetFormatPr defaultRowHeight="14.25" x14ac:dyDescent="0.2"/>
  <cols>
    <col min="1" max="1" width="16.875" customWidth="1"/>
  </cols>
  <sheetData>
    <row r="1" spans="1:10" x14ac:dyDescent="0.2">
      <c r="A1" t="s">
        <v>327</v>
      </c>
    </row>
    <row r="2" spans="1:10" x14ac:dyDescent="0.2">
      <c r="A2" t="s">
        <v>328</v>
      </c>
    </row>
    <row r="7" spans="1:10" x14ac:dyDescent="0.2">
      <c r="G7">
        <v>1</v>
      </c>
    </row>
    <row r="8" spans="1:10" x14ac:dyDescent="0.2">
      <c r="C8">
        <v>1</v>
      </c>
      <c r="G8">
        <v>2</v>
      </c>
    </row>
    <row r="9" spans="1:10" x14ac:dyDescent="0.2">
      <c r="C9">
        <v>2</v>
      </c>
      <c r="G9">
        <v>3</v>
      </c>
    </row>
    <row r="10" spans="1:10" x14ac:dyDescent="0.2">
      <c r="C10">
        <v>3</v>
      </c>
    </row>
    <row r="11" spans="1:10" x14ac:dyDescent="0.2">
      <c r="C11">
        <v>4</v>
      </c>
    </row>
    <row r="12" spans="1:10" x14ac:dyDescent="0.2">
      <c r="C12">
        <v>5</v>
      </c>
      <c r="J12" s="134" t="s">
        <v>327</v>
      </c>
    </row>
    <row r="14" spans="1:10" x14ac:dyDescent="0.2">
      <c r="A14" t="s">
        <v>301</v>
      </c>
    </row>
    <row r="15" spans="1:10" x14ac:dyDescent="0.2">
      <c r="A15" t="s">
        <v>457</v>
      </c>
    </row>
  </sheetData>
  <dataValidations count="1">
    <dataValidation type="list" allowBlank="1" showInputMessage="1" showErrorMessage="1" sqref="J12" xr:uid="{00000000-0002-0000-0100-000000000000}">
      <formula1>AnoNe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Sheet5">
    <tabColor theme="8" tint="0.79998168889431442"/>
  </sheetPr>
  <dimension ref="A1:L194"/>
  <sheetViews>
    <sheetView view="pageBreakPreview" zoomScale="110" zoomScaleNormal="100" zoomScaleSheetLayoutView="110" workbookViewId="0">
      <selection activeCell="B1" sqref="B1"/>
    </sheetView>
  </sheetViews>
  <sheetFormatPr defaultColWidth="7.625" defaultRowHeight="15" outlineLevelCol="1" x14ac:dyDescent="0.25"/>
  <cols>
    <col min="1" max="1" width="1.125" style="43" customWidth="1"/>
    <col min="2" max="2" width="43" style="43" customWidth="1"/>
    <col min="3" max="3" width="12.125" style="43" customWidth="1"/>
    <col min="4" max="4" width="13.125" style="43" customWidth="1"/>
    <col min="5" max="5" width="8.125" style="43" hidden="1" customWidth="1"/>
    <col min="6" max="6" width="14.625" style="43" customWidth="1"/>
    <col min="7" max="7" width="53.625" style="44" customWidth="1"/>
    <col min="8" max="8" width="2.5" style="43" customWidth="1"/>
    <col min="9" max="9" width="17.25" style="468" hidden="1" customWidth="1" outlineLevel="1"/>
    <col min="10" max="10" width="11.875" style="21" customWidth="1" collapsed="1"/>
    <col min="11" max="11" width="10.5" style="21" bestFit="1" customWidth="1"/>
    <col min="12" max="16384" width="7.625" style="21"/>
  </cols>
  <sheetData>
    <row r="1" spans="2:9" ht="18.75" x14ac:dyDescent="0.25">
      <c r="B1" s="42" t="s">
        <v>187</v>
      </c>
    </row>
    <row r="2" spans="2:9" ht="18.75" x14ac:dyDescent="0.25">
      <c r="B2" s="45" t="s">
        <v>184</v>
      </c>
      <c r="C2" s="42"/>
      <c r="D2" s="42"/>
      <c r="E2" s="42"/>
      <c r="F2" s="46"/>
    </row>
    <row r="3" spans="2:9" ht="6.75" customHeight="1" thickBot="1" x14ac:dyDescent="0.3">
      <c r="B3" s="47"/>
      <c r="C3" s="48"/>
      <c r="D3" s="48"/>
      <c r="E3" s="48"/>
      <c r="F3" s="48"/>
    </row>
    <row r="4" spans="2:9" ht="15.75" thickBot="1" x14ac:dyDescent="0.3">
      <c r="B4" s="22" t="s">
        <v>167</v>
      </c>
      <c r="C4" s="23"/>
      <c r="D4" s="23"/>
      <c r="E4" s="23"/>
      <c r="F4" s="24"/>
      <c r="G4" s="231"/>
    </row>
    <row r="5" spans="2:9" ht="23.25" customHeight="1" x14ac:dyDescent="0.25">
      <c r="B5" s="98" t="s">
        <v>307</v>
      </c>
      <c r="C5" s="49" t="s">
        <v>107</v>
      </c>
      <c r="D5" s="135" t="s">
        <v>329</v>
      </c>
      <c r="E5" s="49"/>
      <c r="F5" s="164" t="s">
        <v>137</v>
      </c>
      <c r="G5" s="232" t="s">
        <v>126</v>
      </c>
    </row>
    <row r="6" spans="2:9" x14ac:dyDescent="0.25">
      <c r="B6" s="131" t="s">
        <v>205</v>
      </c>
      <c r="C6" s="132" t="s">
        <v>112</v>
      </c>
      <c r="D6" s="48"/>
      <c r="E6" s="48"/>
      <c r="F6" s="260">
        <v>0</v>
      </c>
      <c r="G6" s="159"/>
      <c r="I6" s="468" t="s">
        <v>356</v>
      </c>
    </row>
    <row r="7" spans="2:9" x14ac:dyDescent="0.25">
      <c r="B7" s="131" t="s">
        <v>306</v>
      </c>
      <c r="C7" s="132" t="s">
        <v>253</v>
      </c>
      <c r="D7" s="48"/>
      <c r="E7" s="48"/>
      <c r="F7" s="260">
        <v>0</v>
      </c>
      <c r="G7" s="159"/>
      <c r="I7" s="468" t="s">
        <v>357</v>
      </c>
    </row>
    <row r="8" spans="2:9" x14ac:dyDescent="0.25">
      <c r="B8" s="131" t="s">
        <v>318</v>
      </c>
      <c r="C8" s="132" t="s">
        <v>112</v>
      </c>
      <c r="D8" s="48"/>
      <c r="E8" s="48"/>
      <c r="F8" s="261">
        <v>0</v>
      </c>
      <c r="G8" s="159"/>
      <c r="I8" s="468" t="s">
        <v>356</v>
      </c>
    </row>
    <row r="9" spans="2:9" x14ac:dyDescent="0.25">
      <c r="B9" s="131" t="s">
        <v>319</v>
      </c>
      <c r="C9" s="132" t="s">
        <v>253</v>
      </c>
      <c r="D9" s="48"/>
      <c r="E9" s="48"/>
      <c r="F9" s="261">
        <v>0</v>
      </c>
      <c r="G9" s="159"/>
      <c r="I9" s="468" t="s">
        <v>357</v>
      </c>
    </row>
    <row r="10" spans="2:9" x14ac:dyDescent="0.25">
      <c r="B10" s="52" t="s">
        <v>206</v>
      </c>
      <c r="C10" s="132" t="s">
        <v>112</v>
      </c>
      <c r="D10" s="48"/>
      <c r="E10" s="48"/>
      <c r="F10" s="262">
        <v>0</v>
      </c>
      <c r="G10" s="228"/>
      <c r="I10" s="468" t="s">
        <v>356</v>
      </c>
    </row>
    <row r="11" spans="2:9" x14ac:dyDescent="0.25">
      <c r="B11" s="131" t="s">
        <v>308</v>
      </c>
      <c r="C11" s="132" t="s">
        <v>253</v>
      </c>
      <c r="D11" s="48"/>
      <c r="E11" s="48"/>
      <c r="F11" s="262">
        <v>0</v>
      </c>
      <c r="G11" s="228"/>
      <c r="I11" s="468" t="s">
        <v>357</v>
      </c>
    </row>
    <row r="12" spans="2:9" x14ac:dyDescent="0.25">
      <c r="B12" s="50" t="s">
        <v>166</v>
      </c>
      <c r="C12" s="132" t="s">
        <v>112</v>
      </c>
      <c r="D12" s="48"/>
      <c r="E12" s="48"/>
      <c r="F12" s="261">
        <v>0</v>
      </c>
      <c r="G12" s="233"/>
      <c r="I12" s="468" t="s">
        <v>356</v>
      </c>
    </row>
    <row r="13" spans="2:9" x14ac:dyDescent="0.25">
      <c r="B13" s="131" t="s">
        <v>309</v>
      </c>
      <c r="C13" s="132" t="s">
        <v>253</v>
      </c>
      <c r="D13" s="48"/>
      <c r="E13" s="48"/>
      <c r="F13" s="260">
        <v>0</v>
      </c>
      <c r="G13" s="228"/>
      <c r="I13" s="468" t="s">
        <v>357</v>
      </c>
    </row>
    <row r="14" spans="2:9" x14ac:dyDescent="0.25">
      <c r="B14" s="50" t="s">
        <v>207</v>
      </c>
      <c r="C14" s="132" t="s">
        <v>112</v>
      </c>
      <c r="D14" s="48"/>
      <c r="E14" s="48"/>
      <c r="F14" s="270">
        <v>0</v>
      </c>
      <c r="G14" s="159"/>
      <c r="I14" s="468" t="s">
        <v>356</v>
      </c>
    </row>
    <row r="15" spans="2:9" x14ac:dyDescent="0.25">
      <c r="B15" s="131" t="s">
        <v>310</v>
      </c>
      <c r="C15" s="132" t="s">
        <v>253</v>
      </c>
      <c r="D15" s="48"/>
      <c r="E15" s="48"/>
      <c r="F15" s="262">
        <v>0</v>
      </c>
      <c r="G15" s="159"/>
      <c r="I15" s="468" t="s">
        <v>357</v>
      </c>
    </row>
    <row r="16" spans="2:9" x14ac:dyDescent="0.25">
      <c r="B16" s="131" t="s">
        <v>208</v>
      </c>
      <c r="C16" s="132" t="s">
        <v>112</v>
      </c>
      <c r="D16" s="48"/>
      <c r="E16" s="48"/>
      <c r="F16" s="262">
        <v>0</v>
      </c>
      <c r="G16" s="159"/>
      <c r="I16" s="468" t="s">
        <v>356</v>
      </c>
    </row>
    <row r="17" spans="2:9" ht="15.75" thickBot="1" x14ac:dyDescent="0.3">
      <c r="B17" s="395" t="s">
        <v>311</v>
      </c>
      <c r="C17" s="132" t="s">
        <v>253</v>
      </c>
      <c r="D17" s="48"/>
      <c r="E17" s="48"/>
      <c r="F17" s="262">
        <v>0</v>
      </c>
      <c r="G17" s="228"/>
      <c r="I17" s="468" t="s">
        <v>357</v>
      </c>
    </row>
    <row r="18" spans="2:9" ht="15.75" thickTop="1" x14ac:dyDescent="0.25">
      <c r="B18" s="396" t="s">
        <v>320</v>
      </c>
      <c r="C18" s="396" t="s">
        <v>112</v>
      </c>
      <c r="D18" s="397" t="s">
        <v>327</v>
      </c>
      <c r="E18" s="396"/>
      <c r="F18" s="398">
        <f>OperacniSystem+F8+F10+WindowsSrvPoplatekRok+WindowsPoplatekRokUzivatel+F16</f>
        <v>0</v>
      </c>
      <c r="G18" s="399"/>
      <c r="I18" s="468" t="s">
        <v>35</v>
      </c>
    </row>
    <row r="19" spans="2:9" ht="15.75" thickBot="1" x14ac:dyDescent="0.3">
      <c r="B19" s="400" t="s">
        <v>338</v>
      </c>
      <c r="C19" s="400" t="s">
        <v>253</v>
      </c>
      <c r="D19" s="400"/>
      <c r="E19" s="400"/>
      <c r="F19" s="401">
        <f>F7+F9+F11+F13+F15+F17</f>
        <v>0</v>
      </c>
      <c r="G19" s="402"/>
      <c r="I19" s="468" t="s">
        <v>120</v>
      </c>
    </row>
    <row r="20" spans="2:9" ht="15.75" thickTop="1" x14ac:dyDescent="0.25">
      <c r="F20" s="263"/>
    </row>
    <row r="21" spans="2:9" ht="18" x14ac:dyDescent="0.25">
      <c r="B21" s="403" t="s">
        <v>429</v>
      </c>
      <c r="C21" s="404" t="s">
        <v>107</v>
      </c>
      <c r="D21" s="405" t="s">
        <v>329</v>
      </c>
      <c r="E21" s="404"/>
      <c r="F21" s="406" t="s">
        <v>137</v>
      </c>
      <c r="G21" s="240" t="s">
        <v>126</v>
      </c>
      <c r="I21" s="21"/>
    </row>
    <row r="22" spans="2:9" x14ac:dyDescent="0.25">
      <c r="B22" s="131" t="s">
        <v>39</v>
      </c>
      <c r="C22" s="132" t="s">
        <v>112</v>
      </c>
      <c r="D22" s="482" t="s">
        <v>327</v>
      </c>
      <c r="E22" s="48"/>
      <c r="F22" s="260">
        <v>0</v>
      </c>
      <c r="G22" s="233"/>
      <c r="I22" s="468" t="s">
        <v>430</v>
      </c>
    </row>
    <row r="23" spans="2:9" ht="15.75" thickBot="1" x14ac:dyDescent="0.3">
      <c r="B23" s="408" t="s">
        <v>431</v>
      </c>
      <c r="C23" s="400" t="s">
        <v>253</v>
      </c>
      <c r="D23" s="409"/>
      <c r="E23" s="409"/>
      <c r="F23" s="410">
        <v>0</v>
      </c>
      <c r="G23" s="411"/>
      <c r="I23" s="468" t="s">
        <v>432</v>
      </c>
    </row>
    <row r="24" spans="2:9" ht="15.75" thickTop="1" x14ac:dyDescent="0.25">
      <c r="F24" s="263"/>
    </row>
    <row r="25" spans="2:9" ht="23.25" customHeight="1" x14ac:dyDescent="0.25">
      <c r="B25" s="403" t="s">
        <v>401</v>
      </c>
      <c r="C25" s="404" t="s">
        <v>107</v>
      </c>
      <c r="D25" s="405" t="s">
        <v>329</v>
      </c>
      <c r="E25" s="404"/>
      <c r="F25" s="406" t="s">
        <v>137</v>
      </c>
      <c r="G25" s="407" t="s">
        <v>126</v>
      </c>
      <c r="H25" s="195"/>
    </row>
    <row r="26" spans="2:9" x14ac:dyDescent="0.25">
      <c r="B26" s="131" t="s">
        <v>400</v>
      </c>
      <c r="C26" s="132" t="s">
        <v>112</v>
      </c>
      <c r="D26" s="279" t="s">
        <v>327</v>
      </c>
      <c r="E26" s="48"/>
      <c r="F26" s="260">
        <v>0</v>
      </c>
      <c r="G26" s="233"/>
      <c r="I26" s="468" t="s">
        <v>405</v>
      </c>
    </row>
    <row r="27" spans="2:9" ht="15.75" thickBot="1" x14ac:dyDescent="0.3">
      <c r="B27" s="408" t="s">
        <v>404</v>
      </c>
      <c r="C27" s="400" t="s">
        <v>253</v>
      </c>
      <c r="D27" s="409"/>
      <c r="E27" s="409"/>
      <c r="F27" s="410">
        <v>0</v>
      </c>
      <c r="G27" s="411"/>
      <c r="I27" s="468" t="s">
        <v>410</v>
      </c>
    </row>
    <row r="28" spans="2:9" ht="15.75" thickTop="1" x14ac:dyDescent="0.25"/>
    <row r="29" spans="2:9" ht="23.25" customHeight="1" x14ac:dyDescent="0.25">
      <c r="B29" s="403" t="s">
        <v>399</v>
      </c>
      <c r="C29" s="404" t="s">
        <v>107</v>
      </c>
      <c r="D29" s="405" t="s">
        <v>329</v>
      </c>
      <c r="E29" s="404"/>
      <c r="F29" s="412" t="s">
        <v>137</v>
      </c>
      <c r="G29" s="407" t="s">
        <v>126</v>
      </c>
      <c r="H29" s="195"/>
    </row>
    <row r="30" spans="2:9" x14ac:dyDescent="0.25">
      <c r="B30" s="131" t="s">
        <v>402</v>
      </c>
      <c r="C30" s="132" t="s">
        <v>112</v>
      </c>
      <c r="D30" s="279" t="s">
        <v>327</v>
      </c>
      <c r="E30" s="48"/>
      <c r="F30" s="260">
        <v>0</v>
      </c>
      <c r="G30" s="233"/>
      <c r="I30" s="468" t="s">
        <v>408</v>
      </c>
    </row>
    <row r="31" spans="2:9" x14ac:dyDescent="0.25">
      <c r="B31" s="131" t="s">
        <v>403</v>
      </c>
      <c r="C31" s="132" t="s">
        <v>253</v>
      </c>
      <c r="D31" s="48"/>
      <c r="E31" s="48"/>
      <c r="F31" s="260">
        <v>0</v>
      </c>
      <c r="G31" s="233"/>
      <c r="I31" s="468" t="s">
        <v>412</v>
      </c>
    </row>
    <row r="32" spans="2:9" x14ac:dyDescent="0.25">
      <c r="B32" s="131" t="s">
        <v>208</v>
      </c>
      <c r="C32" s="132" t="s">
        <v>112</v>
      </c>
      <c r="D32" s="279" t="s">
        <v>327</v>
      </c>
      <c r="E32" s="48"/>
      <c r="F32" s="260">
        <v>0</v>
      </c>
      <c r="G32" s="233"/>
      <c r="I32" s="468" t="s">
        <v>409</v>
      </c>
    </row>
    <row r="33" spans="2:12" ht="15.75" thickBot="1" x14ac:dyDescent="0.3">
      <c r="B33" s="413" t="s">
        <v>311</v>
      </c>
      <c r="C33" s="400" t="s">
        <v>253</v>
      </c>
      <c r="D33" s="409"/>
      <c r="E33" s="409"/>
      <c r="F33" s="421">
        <v>0</v>
      </c>
      <c r="G33" s="411"/>
      <c r="I33" s="468" t="s">
        <v>412</v>
      </c>
    </row>
    <row r="34" spans="2:12" ht="15.75" thickTop="1" x14ac:dyDescent="0.25"/>
    <row r="35" spans="2:12" ht="18" x14ac:dyDescent="0.25">
      <c r="B35" s="403" t="s">
        <v>322</v>
      </c>
      <c r="C35" s="404" t="s">
        <v>107</v>
      </c>
      <c r="D35" s="405" t="s">
        <v>329</v>
      </c>
      <c r="E35" s="404"/>
      <c r="F35" s="412" t="s">
        <v>137</v>
      </c>
      <c r="G35" s="407" t="s">
        <v>126</v>
      </c>
    </row>
    <row r="36" spans="2:12" x14ac:dyDescent="0.25">
      <c r="B36" s="131" t="s">
        <v>323</v>
      </c>
      <c r="C36" s="132" t="s">
        <v>112</v>
      </c>
      <c r="D36" s="279" t="s">
        <v>327</v>
      </c>
      <c r="E36" s="48"/>
      <c r="F36" s="260">
        <v>0</v>
      </c>
      <c r="G36" s="233"/>
      <c r="I36" s="468" t="s">
        <v>42</v>
      </c>
    </row>
    <row r="37" spans="2:12" ht="15.75" thickBot="1" x14ac:dyDescent="0.3">
      <c r="B37" s="408" t="s">
        <v>339</v>
      </c>
      <c r="C37" s="400" t="s">
        <v>253</v>
      </c>
      <c r="D37" s="409"/>
      <c r="E37" s="409"/>
      <c r="F37" s="410">
        <v>0</v>
      </c>
      <c r="G37" s="414"/>
      <c r="I37" s="468" t="s">
        <v>121</v>
      </c>
    </row>
    <row r="38" spans="2:12" ht="16.5" thickTop="1" thickBot="1" x14ac:dyDescent="0.3">
      <c r="B38" s="131"/>
      <c r="C38" s="132"/>
      <c r="D38" s="48"/>
      <c r="E38" s="48"/>
      <c r="F38" s="282"/>
      <c r="G38" s="233"/>
    </row>
    <row r="39" spans="2:12" ht="15.75" thickBot="1" x14ac:dyDescent="0.3">
      <c r="B39" s="4" t="s">
        <v>384</v>
      </c>
      <c r="C39" s="23"/>
      <c r="D39" s="23"/>
      <c r="E39" s="23"/>
      <c r="F39" s="24"/>
      <c r="G39" s="231"/>
    </row>
    <row r="40" spans="2:12" ht="24" customHeight="1" x14ac:dyDescent="0.25">
      <c r="B40" s="49"/>
      <c r="C40" s="49" t="s">
        <v>107</v>
      </c>
      <c r="D40" s="135" t="s">
        <v>329</v>
      </c>
      <c r="E40" s="49"/>
      <c r="F40" s="164" t="s">
        <v>137</v>
      </c>
      <c r="G40" s="232" t="s">
        <v>126</v>
      </c>
    </row>
    <row r="41" spans="2:12" x14ac:dyDescent="0.25">
      <c r="B41" s="92" t="s">
        <v>385</v>
      </c>
      <c r="C41" s="93" t="s">
        <v>112</v>
      </c>
      <c r="D41" s="274" t="s">
        <v>327</v>
      </c>
      <c r="E41" s="70"/>
      <c r="F41" s="71">
        <v>0</v>
      </c>
      <c r="G41" s="160"/>
      <c r="I41" s="469" t="s">
        <v>388</v>
      </c>
    </row>
    <row r="42" spans="2:12" x14ac:dyDescent="0.25">
      <c r="B42" s="92" t="s">
        <v>386</v>
      </c>
      <c r="C42" s="93" t="s">
        <v>112</v>
      </c>
      <c r="D42" s="274" t="s">
        <v>327</v>
      </c>
      <c r="E42" s="70"/>
      <c r="F42" s="71">
        <v>0</v>
      </c>
      <c r="G42" s="160"/>
      <c r="I42" s="469" t="s">
        <v>389</v>
      </c>
    </row>
    <row r="43" spans="2:12" ht="15.75" thickBot="1" x14ac:dyDescent="0.3">
      <c r="B43" s="294" t="s">
        <v>338</v>
      </c>
      <c r="C43" s="295" t="s">
        <v>253</v>
      </c>
      <c r="D43" s="415"/>
      <c r="E43" s="415"/>
      <c r="F43" s="416">
        <v>0</v>
      </c>
      <c r="G43" s="417"/>
      <c r="I43" s="469" t="s">
        <v>390</v>
      </c>
    </row>
    <row r="44" spans="2:12" ht="15.75" thickTop="1" x14ac:dyDescent="0.25">
      <c r="B44" s="131"/>
      <c r="C44" s="132"/>
      <c r="D44" s="48"/>
      <c r="E44" s="48"/>
      <c r="F44" s="282"/>
      <c r="G44" s="233"/>
    </row>
    <row r="46" spans="2:12" x14ac:dyDescent="0.25">
      <c r="B46" s="25" t="s">
        <v>168</v>
      </c>
      <c r="C46" s="26"/>
      <c r="D46" s="26"/>
      <c r="E46" s="26"/>
      <c r="F46" s="27"/>
      <c r="G46" s="234"/>
    </row>
    <row r="47" spans="2:12" ht="21" customHeight="1" x14ac:dyDescent="0.25">
      <c r="B47" s="403" t="s">
        <v>204</v>
      </c>
      <c r="C47" s="404" t="s">
        <v>107</v>
      </c>
      <c r="D47" s="405" t="s">
        <v>329</v>
      </c>
      <c r="E47" s="404"/>
      <c r="F47" s="412" t="s">
        <v>137</v>
      </c>
      <c r="G47" s="407" t="s">
        <v>126</v>
      </c>
      <c r="H47" s="190"/>
      <c r="I47" s="470"/>
      <c r="J47" s="28"/>
      <c r="K47" s="28"/>
      <c r="L47" s="28"/>
    </row>
    <row r="48" spans="2:12" x14ac:dyDescent="0.25">
      <c r="B48" s="131" t="s">
        <v>383</v>
      </c>
      <c r="C48" s="48" t="s">
        <v>138</v>
      </c>
      <c r="D48" s="48"/>
      <c r="E48" s="48"/>
      <c r="F48" s="51">
        <v>1</v>
      </c>
      <c r="G48" s="236" t="s">
        <v>419</v>
      </c>
      <c r="H48" s="190"/>
      <c r="I48" s="471"/>
      <c r="J48" s="28"/>
      <c r="K48" s="28"/>
      <c r="L48" s="28"/>
    </row>
    <row r="49" spans="1:12" x14ac:dyDescent="0.25">
      <c r="B49" s="57" t="s">
        <v>220</v>
      </c>
      <c r="C49" s="58" t="s">
        <v>139</v>
      </c>
      <c r="E49" s="58"/>
      <c r="F49" s="56">
        <f>DelkaProjektu</f>
        <v>5</v>
      </c>
      <c r="G49" s="136"/>
      <c r="H49" s="190"/>
      <c r="I49" s="471"/>
      <c r="J49" s="28"/>
      <c r="K49" s="28"/>
      <c r="L49" s="28"/>
    </row>
    <row r="50" spans="1:12" x14ac:dyDescent="0.25">
      <c r="B50" s="52" t="s">
        <v>163</v>
      </c>
      <c r="C50" s="62" t="s">
        <v>420</v>
      </c>
      <c r="D50" s="482" t="s">
        <v>327</v>
      </c>
      <c r="E50" s="58"/>
      <c r="F50" s="264">
        <v>0</v>
      </c>
      <c r="G50" s="136"/>
      <c r="H50" s="190"/>
      <c r="I50" s="471" t="s">
        <v>27</v>
      </c>
      <c r="J50" s="28"/>
      <c r="K50" s="28"/>
      <c r="L50" s="28"/>
    </row>
    <row r="51" spans="1:12" x14ac:dyDescent="0.25">
      <c r="B51" s="57" t="s">
        <v>219</v>
      </c>
      <c r="C51" s="58" t="s">
        <v>174</v>
      </c>
      <c r="D51" s="58"/>
      <c r="E51" s="58"/>
      <c r="F51" s="267">
        <v>0</v>
      </c>
      <c r="G51" s="59"/>
      <c r="H51" s="190"/>
      <c r="I51" s="471" t="s">
        <v>118</v>
      </c>
      <c r="J51" s="28"/>
      <c r="K51" s="28"/>
      <c r="L51" s="28"/>
    </row>
    <row r="52" spans="1:12" s="229" customFormat="1" ht="15.75" thickBot="1" x14ac:dyDescent="0.3">
      <c r="A52" s="230"/>
      <c r="B52" s="423" t="s">
        <v>171</v>
      </c>
      <c r="C52" s="424" t="s">
        <v>107</v>
      </c>
      <c r="D52" s="424"/>
      <c r="E52" s="424"/>
      <c r="F52" s="425">
        <v>1</v>
      </c>
      <c r="G52" s="426" t="s">
        <v>419</v>
      </c>
      <c r="H52" s="280"/>
      <c r="I52" s="472"/>
      <c r="J52" s="281"/>
      <c r="K52" s="281"/>
      <c r="L52" s="281"/>
    </row>
    <row r="53" spans="1:12" s="229" customFormat="1" ht="15.75" thickTop="1" x14ac:dyDescent="0.25">
      <c r="A53" s="230"/>
      <c r="B53" s="57"/>
      <c r="C53" s="58"/>
      <c r="D53" s="58"/>
      <c r="E53" s="58"/>
      <c r="F53" s="422"/>
      <c r="G53" s="59"/>
      <c r="H53" s="280"/>
      <c r="I53" s="472"/>
      <c r="J53" s="281"/>
      <c r="K53" s="281"/>
      <c r="L53" s="281"/>
    </row>
    <row r="54" spans="1:12" s="229" customFormat="1" x14ac:dyDescent="0.25">
      <c r="A54" s="230"/>
      <c r="B54" s="53" t="s">
        <v>203</v>
      </c>
      <c r="C54" s="53" t="s">
        <v>107</v>
      </c>
      <c r="D54" s="53"/>
      <c r="E54" s="53"/>
      <c r="F54" s="165" t="s">
        <v>137</v>
      </c>
      <c r="G54" s="235" t="s">
        <v>126</v>
      </c>
      <c r="H54" s="280"/>
      <c r="I54" s="472"/>
      <c r="J54" s="486"/>
      <c r="K54" s="281"/>
      <c r="L54" s="281"/>
    </row>
    <row r="55" spans="1:12" s="229" customFormat="1" x14ac:dyDescent="0.25">
      <c r="A55" s="230"/>
      <c r="B55" s="50" t="s">
        <v>172</v>
      </c>
      <c r="C55" s="47" t="s">
        <v>221</v>
      </c>
      <c r="D55" s="47"/>
      <c r="E55" s="47"/>
      <c r="F55" s="54">
        <v>1</v>
      </c>
      <c r="G55" s="159"/>
      <c r="H55" s="280"/>
      <c r="I55" s="472"/>
      <c r="J55" s="281"/>
      <c r="K55" s="281"/>
      <c r="L55" s="281"/>
    </row>
    <row r="56" spans="1:12" s="229" customFormat="1" ht="15.75" thickBot="1" x14ac:dyDescent="0.3">
      <c r="A56" s="230"/>
      <c r="B56" s="418" t="s">
        <v>173</v>
      </c>
      <c r="C56" s="409" t="s">
        <v>129</v>
      </c>
      <c r="D56" s="409"/>
      <c r="E56" s="409"/>
      <c r="F56" s="419">
        <v>0</v>
      </c>
      <c r="G56" s="420"/>
      <c r="H56" s="280"/>
      <c r="I56" s="472"/>
      <c r="J56" s="281"/>
      <c r="K56" s="281"/>
      <c r="L56" s="281"/>
    </row>
    <row r="57" spans="1:12" ht="15.75" thickTop="1" x14ac:dyDescent="0.25">
      <c r="I57" s="471"/>
    </row>
    <row r="58" spans="1:12" ht="24.75" customHeight="1" x14ac:dyDescent="0.25">
      <c r="B58" s="403" t="s">
        <v>1</v>
      </c>
      <c r="C58" s="404"/>
      <c r="D58" s="405" t="s">
        <v>329</v>
      </c>
      <c r="E58" s="404"/>
      <c r="F58" s="412" t="s">
        <v>137</v>
      </c>
      <c r="G58" s="407" t="s">
        <v>126</v>
      </c>
    </row>
    <row r="59" spans="1:12" x14ac:dyDescent="0.25">
      <c r="B59" s="57" t="s">
        <v>175</v>
      </c>
      <c r="C59" s="62" t="s">
        <v>112</v>
      </c>
      <c r="D59" s="485" t="str">
        <f>D50</f>
        <v>ANO</v>
      </c>
      <c r="E59" s="62"/>
      <c r="F59" s="264">
        <v>0</v>
      </c>
      <c r="G59" s="59"/>
      <c r="H59" s="191"/>
      <c r="I59" s="471" t="s">
        <v>27</v>
      </c>
      <c r="J59" s="28"/>
      <c r="K59" s="28"/>
      <c r="L59" s="28"/>
    </row>
    <row r="60" spans="1:12" x14ac:dyDescent="0.25">
      <c r="B60" s="57" t="s">
        <v>179</v>
      </c>
      <c r="C60" s="62" t="s">
        <v>253</v>
      </c>
      <c r="D60" s="62"/>
      <c r="E60" s="62"/>
      <c r="F60" s="265">
        <f>F59/DelkaProjektu</f>
        <v>0</v>
      </c>
      <c r="G60" s="60"/>
      <c r="H60" s="191"/>
      <c r="I60" s="471" t="s">
        <v>27</v>
      </c>
      <c r="J60" s="28"/>
      <c r="K60" s="28"/>
      <c r="L60" s="28"/>
    </row>
    <row r="61" spans="1:12" x14ac:dyDescent="0.25">
      <c r="B61" s="50" t="s">
        <v>169</v>
      </c>
      <c r="C61" s="48" t="s">
        <v>138</v>
      </c>
      <c r="D61" s="48"/>
      <c r="E61" s="48"/>
      <c r="F61" s="51">
        <v>1</v>
      </c>
      <c r="G61" s="55"/>
      <c r="H61" s="192"/>
      <c r="I61" s="468" t="s">
        <v>425</v>
      </c>
    </row>
    <row r="62" spans="1:12" x14ac:dyDescent="0.25">
      <c r="B62" s="50" t="s">
        <v>170</v>
      </c>
      <c r="C62" s="48" t="s">
        <v>107</v>
      </c>
      <c r="D62" s="48"/>
      <c r="E62" s="48"/>
      <c r="F62" s="51">
        <v>0</v>
      </c>
      <c r="G62" s="55"/>
      <c r="I62" s="468" t="s">
        <v>425</v>
      </c>
    </row>
    <row r="63" spans="1:12" x14ac:dyDescent="0.25">
      <c r="B63" s="50" t="s">
        <v>180</v>
      </c>
      <c r="C63" s="48" t="s">
        <v>221</v>
      </c>
      <c r="D63" s="48"/>
      <c r="E63" s="48"/>
      <c r="F63" s="422">
        <v>0</v>
      </c>
      <c r="G63" s="55"/>
      <c r="I63" s="468" t="s">
        <v>426</v>
      </c>
    </row>
    <row r="64" spans="1:12" s="229" customFormat="1" x14ac:dyDescent="0.25">
      <c r="A64" s="230"/>
      <c r="B64" s="63" t="s">
        <v>176</v>
      </c>
      <c r="C64" s="65" t="s">
        <v>0</v>
      </c>
      <c r="D64" s="65"/>
      <c r="E64" s="65"/>
      <c r="F64" s="273">
        <v>0.8</v>
      </c>
      <c r="G64" s="237"/>
      <c r="H64" s="230"/>
      <c r="I64" s="468" t="s">
        <v>426</v>
      </c>
    </row>
    <row r="65" spans="2:12" x14ac:dyDescent="0.25">
      <c r="B65" s="61" t="s">
        <v>397</v>
      </c>
      <c r="C65" s="62" t="s">
        <v>112</v>
      </c>
      <c r="D65" s="485" t="str">
        <f>D50</f>
        <v>ANO</v>
      </c>
      <c r="E65" s="62"/>
      <c r="F65" s="264">
        <v>0</v>
      </c>
      <c r="G65" s="160"/>
      <c r="H65" s="191"/>
      <c r="I65" s="471" t="s">
        <v>27</v>
      </c>
      <c r="J65" s="28"/>
      <c r="K65" s="28"/>
      <c r="L65" s="28"/>
    </row>
    <row r="66" spans="2:12" ht="15.75" thickBot="1" x14ac:dyDescent="0.3">
      <c r="B66" s="294" t="s">
        <v>398</v>
      </c>
      <c r="C66" s="295" t="s">
        <v>253</v>
      </c>
      <c r="D66" s="295"/>
      <c r="E66" s="295"/>
      <c r="F66" s="427">
        <f>F65/F49</f>
        <v>0</v>
      </c>
      <c r="G66" s="428"/>
      <c r="I66" s="471"/>
    </row>
    <row r="67" spans="2:12" ht="15.75" thickTop="1" x14ac:dyDescent="0.25">
      <c r="C67" s="65"/>
      <c r="D67" s="65"/>
      <c r="E67" s="65"/>
      <c r="F67" s="66"/>
      <c r="G67" s="237"/>
    </row>
    <row r="68" spans="2:12" ht="26.25" customHeight="1" x14ac:dyDescent="0.25">
      <c r="B68" s="403" t="s">
        <v>331</v>
      </c>
      <c r="C68" s="404"/>
      <c r="D68" s="405" t="s">
        <v>329</v>
      </c>
      <c r="E68" s="404"/>
      <c r="F68" s="412" t="s">
        <v>137</v>
      </c>
      <c r="G68" s="407" t="s">
        <v>126</v>
      </c>
    </row>
    <row r="69" spans="2:12" x14ac:dyDescent="0.25">
      <c r="B69" s="133" t="s">
        <v>332</v>
      </c>
      <c r="C69" s="64" t="s">
        <v>334</v>
      </c>
      <c r="D69" s="519" t="s">
        <v>327</v>
      </c>
      <c r="E69" s="65"/>
      <c r="F69" s="266">
        <v>0</v>
      </c>
      <c r="G69" s="160"/>
      <c r="I69" s="468" t="s">
        <v>358</v>
      </c>
    </row>
    <row r="70" spans="2:12" x14ac:dyDescent="0.25">
      <c r="B70" s="63" t="s">
        <v>215</v>
      </c>
      <c r="C70" s="64" t="s">
        <v>335</v>
      </c>
      <c r="D70" s="519"/>
      <c r="E70" s="65"/>
      <c r="F70" s="271">
        <v>0</v>
      </c>
      <c r="G70" s="160"/>
      <c r="I70" s="468" t="s">
        <v>358</v>
      </c>
    </row>
    <row r="71" spans="2:12" x14ac:dyDescent="0.25">
      <c r="B71" s="133" t="s">
        <v>333</v>
      </c>
      <c r="C71" s="64" t="s">
        <v>336</v>
      </c>
      <c r="D71" s="519"/>
      <c r="E71" s="65"/>
      <c r="F71" s="266">
        <v>0</v>
      </c>
      <c r="G71" s="160"/>
      <c r="I71" s="468" t="s">
        <v>358</v>
      </c>
    </row>
    <row r="72" spans="2:12" x14ac:dyDescent="0.25">
      <c r="B72" s="63" t="s">
        <v>216</v>
      </c>
      <c r="C72" s="64" t="s">
        <v>337</v>
      </c>
      <c r="D72" s="519"/>
      <c r="E72" s="65"/>
      <c r="F72" s="266">
        <v>0</v>
      </c>
      <c r="G72" s="160"/>
      <c r="I72" s="468" t="s">
        <v>358</v>
      </c>
    </row>
    <row r="73" spans="2:12" x14ac:dyDescent="0.25">
      <c r="B73" s="133" t="s">
        <v>316</v>
      </c>
      <c r="C73" s="64" t="s">
        <v>253</v>
      </c>
      <c r="D73" s="65"/>
      <c r="E73" s="65"/>
      <c r="F73" s="266">
        <v>0</v>
      </c>
      <c r="G73" s="272"/>
      <c r="I73" s="468" t="s">
        <v>340</v>
      </c>
    </row>
    <row r="74" spans="2:12" ht="15.75" thickBot="1" x14ac:dyDescent="0.3">
      <c r="B74" s="429" t="s">
        <v>210</v>
      </c>
      <c r="C74" s="295" t="s">
        <v>253</v>
      </c>
      <c r="D74" s="295"/>
      <c r="E74" s="295"/>
      <c r="F74" s="430">
        <v>0</v>
      </c>
      <c r="G74" s="431"/>
      <c r="I74" s="468" t="s">
        <v>313</v>
      </c>
    </row>
    <row r="75" spans="2:12" ht="15.75" thickTop="1" x14ac:dyDescent="0.25">
      <c r="C75" s="65"/>
      <c r="D75" s="65"/>
      <c r="E75" s="65"/>
      <c r="F75" s="66"/>
      <c r="G75" s="237"/>
    </row>
    <row r="76" spans="2:12" ht="26.25" customHeight="1" x14ac:dyDescent="0.25">
      <c r="B76" s="403" t="s">
        <v>213</v>
      </c>
      <c r="C76" s="404"/>
      <c r="D76" s="405" t="s">
        <v>329</v>
      </c>
      <c r="E76" s="404"/>
      <c r="F76" s="412" t="s">
        <v>137</v>
      </c>
      <c r="G76" s="407" t="s">
        <v>126</v>
      </c>
    </row>
    <row r="77" spans="2:12" x14ac:dyDescent="0.25">
      <c r="B77" s="63" t="s">
        <v>214</v>
      </c>
      <c r="C77" s="64" t="s">
        <v>112</v>
      </c>
      <c r="D77" s="519" t="s">
        <v>327</v>
      </c>
      <c r="E77" s="65"/>
      <c r="F77" s="266">
        <v>0</v>
      </c>
      <c r="G77" s="160"/>
      <c r="I77" s="468" t="s">
        <v>28</v>
      </c>
    </row>
    <row r="78" spans="2:12" x14ac:dyDescent="0.25">
      <c r="B78" s="133" t="s">
        <v>349</v>
      </c>
      <c r="C78" s="64" t="s">
        <v>112</v>
      </c>
      <c r="D78" s="519"/>
      <c r="E78" s="65"/>
      <c r="F78" s="266">
        <v>0</v>
      </c>
      <c r="G78" s="160"/>
      <c r="I78" s="468" t="s">
        <v>28</v>
      </c>
    </row>
    <row r="79" spans="2:12" x14ac:dyDescent="0.25">
      <c r="B79" s="133" t="s">
        <v>342</v>
      </c>
      <c r="C79" s="64" t="s">
        <v>253</v>
      </c>
      <c r="D79" s="65"/>
      <c r="E79" s="65"/>
      <c r="F79" s="266">
        <v>0</v>
      </c>
      <c r="G79" s="160"/>
      <c r="I79" s="468" t="s">
        <v>340</v>
      </c>
    </row>
    <row r="80" spans="2:12" x14ac:dyDescent="0.25">
      <c r="B80" s="133" t="s">
        <v>343</v>
      </c>
      <c r="C80" s="64" t="s">
        <v>253</v>
      </c>
      <c r="D80" s="65"/>
      <c r="E80" s="65"/>
      <c r="F80" s="266">
        <v>0</v>
      </c>
      <c r="G80" s="160"/>
      <c r="I80" s="468" t="s">
        <v>340</v>
      </c>
    </row>
    <row r="81" spans="2:12" x14ac:dyDescent="0.25">
      <c r="B81" s="432" t="s">
        <v>217</v>
      </c>
      <c r="C81" s="433" t="s">
        <v>253</v>
      </c>
      <c r="D81" s="434"/>
      <c r="E81" s="434"/>
      <c r="F81" s="435">
        <v>0</v>
      </c>
      <c r="G81" s="436"/>
      <c r="I81" s="468" t="s">
        <v>344</v>
      </c>
    </row>
    <row r="82" spans="2:12" ht="15.75" thickBot="1" x14ac:dyDescent="0.3">
      <c r="B82" s="294" t="s">
        <v>218</v>
      </c>
      <c r="C82" s="295" t="s">
        <v>112</v>
      </c>
      <c r="D82" s="296" t="s">
        <v>327</v>
      </c>
      <c r="E82" s="415"/>
      <c r="F82" s="430">
        <v>0</v>
      </c>
      <c r="G82" s="299"/>
      <c r="I82" s="469" t="s">
        <v>359</v>
      </c>
      <c r="J82" s="138"/>
      <c r="K82" s="138"/>
      <c r="L82" s="138"/>
    </row>
    <row r="83" spans="2:12" ht="15.75" thickTop="1" x14ac:dyDescent="0.25">
      <c r="C83" s="65"/>
      <c r="D83" s="65"/>
      <c r="E83" s="65"/>
      <c r="F83" s="66"/>
      <c r="G83" s="237"/>
    </row>
    <row r="84" spans="2:12" x14ac:dyDescent="0.25">
      <c r="C84" s="65"/>
      <c r="D84" s="65"/>
      <c r="E84" s="65"/>
      <c r="F84" s="66"/>
      <c r="G84" s="237"/>
    </row>
    <row r="85" spans="2:12" ht="24" customHeight="1" x14ac:dyDescent="0.25">
      <c r="B85" s="404" t="s">
        <v>32</v>
      </c>
      <c r="C85" s="404" t="s">
        <v>107</v>
      </c>
      <c r="D85" s="405" t="s">
        <v>329</v>
      </c>
      <c r="E85" s="405"/>
      <c r="F85" s="412" t="s">
        <v>137</v>
      </c>
      <c r="G85" s="407" t="s">
        <v>126</v>
      </c>
      <c r="J85" s="139"/>
    </row>
    <row r="86" spans="2:12" x14ac:dyDescent="0.25">
      <c r="B86" s="63" t="s">
        <v>32</v>
      </c>
      <c r="C86" s="64" t="s">
        <v>112</v>
      </c>
      <c r="D86" s="279" t="s">
        <v>327</v>
      </c>
      <c r="E86" s="437"/>
      <c r="F86" s="266">
        <v>0</v>
      </c>
      <c r="G86" s="160"/>
      <c r="I86" s="474" t="s">
        <v>31</v>
      </c>
      <c r="J86" s="139"/>
    </row>
    <row r="87" spans="2:12" ht="15.75" thickBot="1" x14ac:dyDescent="0.3">
      <c r="B87" s="429" t="s">
        <v>37</v>
      </c>
      <c r="C87" s="295" t="s">
        <v>112</v>
      </c>
      <c r="D87" s="296" t="s">
        <v>327</v>
      </c>
      <c r="E87" s="297"/>
      <c r="F87" s="430">
        <v>0</v>
      </c>
      <c r="G87" s="299"/>
      <c r="I87" s="473" t="s">
        <v>15</v>
      </c>
      <c r="J87" s="139"/>
    </row>
    <row r="88" spans="2:12" ht="15.75" thickTop="1" x14ac:dyDescent="0.25">
      <c r="C88" s="65"/>
      <c r="D88" s="65"/>
      <c r="E88" s="65"/>
      <c r="F88" s="66"/>
      <c r="G88" s="237"/>
    </row>
    <row r="89" spans="2:12" ht="15.75" x14ac:dyDescent="0.25">
      <c r="B89" s="45" t="s">
        <v>183</v>
      </c>
      <c r="C89" s="48"/>
      <c r="D89" s="48"/>
      <c r="E89" s="48"/>
      <c r="F89" s="67"/>
      <c r="G89" s="68"/>
    </row>
    <row r="90" spans="2:12" ht="8.25" customHeight="1" x14ac:dyDescent="0.25">
      <c r="B90" s="42"/>
      <c r="C90" s="48"/>
      <c r="D90" s="48"/>
      <c r="E90" s="48"/>
      <c r="F90" s="67"/>
      <c r="G90" s="68"/>
    </row>
    <row r="91" spans="2:12" ht="8.25" customHeight="1" thickBot="1" x14ac:dyDescent="0.3">
      <c r="B91" s="42"/>
      <c r="C91" s="48"/>
      <c r="D91" s="48"/>
      <c r="E91" s="48"/>
      <c r="F91" s="67"/>
      <c r="G91" s="68"/>
    </row>
    <row r="92" spans="2:12" ht="15.75" thickBot="1" x14ac:dyDescent="0.3">
      <c r="B92" s="22" t="s">
        <v>21</v>
      </c>
      <c r="C92" s="23"/>
      <c r="D92" s="23"/>
      <c r="E92" s="23"/>
      <c r="F92" s="24"/>
      <c r="G92" s="231"/>
    </row>
    <row r="93" spans="2:12" ht="25.5" customHeight="1" x14ac:dyDescent="0.25">
      <c r="B93" s="49"/>
      <c r="C93" s="49" t="s">
        <v>107</v>
      </c>
      <c r="D93" s="135" t="s">
        <v>329</v>
      </c>
      <c r="E93" s="135"/>
      <c r="F93" s="164" t="s">
        <v>137</v>
      </c>
      <c r="G93" s="232" t="s">
        <v>126</v>
      </c>
    </row>
    <row r="94" spans="2:12" x14ac:dyDescent="0.25">
      <c r="B94" s="194" t="s">
        <v>22</v>
      </c>
      <c r="C94" s="93" t="s">
        <v>112</v>
      </c>
      <c r="D94" s="274" t="s">
        <v>327</v>
      </c>
      <c r="E94" s="193"/>
      <c r="F94" s="71">
        <v>0</v>
      </c>
      <c r="G94" s="160"/>
      <c r="I94" s="473" t="s">
        <v>13</v>
      </c>
    </row>
    <row r="95" spans="2:12" x14ac:dyDescent="0.25">
      <c r="B95" s="194" t="s">
        <v>23</v>
      </c>
      <c r="C95" s="93" t="s">
        <v>112</v>
      </c>
      <c r="D95" s="274" t="s">
        <v>327</v>
      </c>
      <c r="E95" s="193"/>
      <c r="F95" s="71">
        <v>0</v>
      </c>
      <c r="G95" s="160"/>
      <c r="I95" s="473" t="s">
        <v>14</v>
      </c>
    </row>
    <row r="96" spans="2:12" x14ac:dyDescent="0.25">
      <c r="B96" s="194" t="s">
        <v>24</v>
      </c>
      <c r="C96" s="93" t="s">
        <v>112</v>
      </c>
      <c r="D96" s="274" t="s">
        <v>327</v>
      </c>
      <c r="E96" s="193"/>
      <c r="F96" s="71">
        <v>0</v>
      </c>
      <c r="G96" s="160"/>
      <c r="I96" s="473" t="s">
        <v>16</v>
      </c>
    </row>
    <row r="97" spans="2:9" x14ac:dyDescent="0.25">
      <c r="B97" s="438" t="s">
        <v>350</v>
      </c>
      <c r="C97" s="93" t="s">
        <v>112</v>
      </c>
      <c r="D97" s="279" t="s">
        <v>327</v>
      </c>
      <c r="E97" s="437"/>
      <c r="F97" s="71">
        <v>0</v>
      </c>
      <c r="G97" s="160"/>
      <c r="I97" s="468" t="s">
        <v>351</v>
      </c>
    </row>
    <row r="98" spans="2:9" ht="15.75" thickBot="1" x14ac:dyDescent="0.3">
      <c r="B98" s="439" t="s">
        <v>352</v>
      </c>
      <c r="C98" s="440" t="s">
        <v>253</v>
      </c>
      <c r="D98" s="440"/>
      <c r="E98" s="440"/>
      <c r="F98" s="441">
        <v>0</v>
      </c>
      <c r="G98" s="442"/>
      <c r="I98" s="468" t="s">
        <v>312</v>
      </c>
    </row>
    <row r="99" spans="2:9" ht="16.5" thickTop="1" thickBot="1" x14ac:dyDescent="0.3">
      <c r="C99" s="65"/>
      <c r="D99" s="65"/>
      <c r="E99" s="65"/>
      <c r="F99" s="66"/>
      <c r="G99" s="237"/>
    </row>
    <row r="100" spans="2:9" ht="15.75" thickBot="1" x14ac:dyDescent="0.3">
      <c r="B100" s="22" t="s">
        <v>128</v>
      </c>
      <c r="C100" s="23"/>
      <c r="D100" s="23"/>
      <c r="E100" s="23"/>
      <c r="F100" s="24"/>
      <c r="G100" s="231"/>
    </row>
    <row r="101" spans="2:9" x14ac:dyDescent="0.25">
      <c r="B101" s="49"/>
      <c r="C101" s="49" t="s">
        <v>107</v>
      </c>
      <c r="D101" s="49"/>
      <c r="E101" s="49"/>
      <c r="F101" s="164" t="s">
        <v>137</v>
      </c>
      <c r="G101" s="232" t="s">
        <v>126</v>
      </c>
    </row>
    <row r="102" spans="2:9" x14ac:dyDescent="0.25">
      <c r="B102" s="69" t="s">
        <v>222</v>
      </c>
      <c r="C102" s="70" t="s">
        <v>127</v>
      </c>
      <c r="D102" s="70"/>
      <c r="E102" s="70"/>
      <c r="F102" s="71">
        <v>0</v>
      </c>
      <c r="G102" s="160"/>
      <c r="I102" s="468" t="s">
        <v>95</v>
      </c>
    </row>
    <row r="103" spans="2:9" x14ac:dyDescent="0.25">
      <c r="B103" s="92" t="s">
        <v>354</v>
      </c>
      <c r="C103" s="70" t="s">
        <v>2</v>
      </c>
      <c r="D103" s="70"/>
      <c r="E103" s="70"/>
      <c r="F103" s="71">
        <v>0</v>
      </c>
      <c r="G103" s="160"/>
      <c r="I103" s="468" t="s">
        <v>95</v>
      </c>
    </row>
    <row r="104" spans="2:9" x14ac:dyDescent="0.25">
      <c r="B104" s="133" t="s">
        <v>353</v>
      </c>
      <c r="C104" s="65" t="s">
        <v>2</v>
      </c>
      <c r="D104" s="65"/>
      <c r="E104" s="65"/>
      <c r="F104" s="71">
        <v>0</v>
      </c>
      <c r="G104" s="238"/>
      <c r="I104" s="468" t="s">
        <v>95</v>
      </c>
    </row>
    <row r="105" spans="2:9" ht="15.75" thickBot="1" x14ac:dyDescent="0.3">
      <c r="B105" s="294" t="s">
        <v>347</v>
      </c>
      <c r="C105" s="415" t="s">
        <v>2</v>
      </c>
      <c r="D105" s="415"/>
      <c r="E105" s="415"/>
      <c r="F105" s="416">
        <v>0</v>
      </c>
      <c r="G105" s="417"/>
      <c r="I105" s="468" t="s">
        <v>95</v>
      </c>
    </row>
    <row r="106" spans="2:9" ht="15.75" thickTop="1" x14ac:dyDescent="0.25">
      <c r="G106" s="74"/>
    </row>
    <row r="107" spans="2:9" ht="15.75" x14ac:dyDescent="0.25">
      <c r="B107" s="45" t="s">
        <v>251</v>
      </c>
      <c r="C107" s="65"/>
      <c r="D107" s="65"/>
      <c r="E107" s="65"/>
      <c r="F107" s="73"/>
      <c r="G107" s="239"/>
    </row>
    <row r="108" spans="2:9" ht="5.25" customHeight="1" thickBot="1" x14ac:dyDescent="0.3">
      <c r="B108" s="42"/>
      <c r="C108" s="42"/>
      <c r="D108" s="42"/>
      <c r="E108" s="42"/>
      <c r="F108" s="46"/>
      <c r="G108" s="74"/>
    </row>
    <row r="109" spans="2:9" ht="15.75" thickBot="1" x14ac:dyDescent="0.3">
      <c r="B109" s="22" t="s">
        <v>223</v>
      </c>
      <c r="C109" s="23"/>
      <c r="D109" s="23"/>
      <c r="E109" s="23"/>
      <c r="F109" s="24"/>
      <c r="G109" s="231"/>
    </row>
    <row r="110" spans="2:9" x14ac:dyDescent="0.25">
      <c r="B110" s="49"/>
      <c r="C110" s="29" t="s">
        <v>107</v>
      </c>
      <c r="D110" s="40" t="s">
        <v>366</v>
      </c>
      <c r="E110" s="16" t="s">
        <v>275</v>
      </c>
      <c r="F110" s="164" t="s">
        <v>137</v>
      </c>
      <c r="G110" s="240" t="s">
        <v>126</v>
      </c>
    </row>
    <row r="111" spans="2:9" ht="25.5" customHeight="1" x14ac:dyDescent="0.25">
      <c r="B111" s="75" t="s">
        <v>99</v>
      </c>
      <c r="C111" s="69" t="s">
        <v>225</v>
      </c>
      <c r="D111" s="76">
        <v>2</v>
      </c>
      <c r="E111" s="77">
        <f>IF(D111=1,HodinovaSazbaIT,IF(D111=2,HodinSazbaIT2,IF(D111=3,HodinSazbaIT3)))</f>
        <v>434.62962962962962</v>
      </c>
      <c r="F111" s="264">
        <v>0</v>
      </c>
      <c r="G111" s="10"/>
      <c r="I111" s="469" t="s">
        <v>81</v>
      </c>
    </row>
    <row r="112" spans="2:9" x14ac:dyDescent="0.25">
      <c r="B112" s="75" t="s">
        <v>100</v>
      </c>
      <c r="C112" s="69" t="s">
        <v>225</v>
      </c>
      <c r="D112" s="76">
        <v>2</v>
      </c>
      <c r="E112" s="77">
        <f>IF(D112=1,HodinovaSazbaIT,IF(D112=2,HodinSazbaIT2,IF(D112=3,HodinSazbaIT3)))</f>
        <v>434.62962962962962</v>
      </c>
      <c r="F112" s="264">
        <v>0</v>
      </c>
      <c r="G112" s="10"/>
      <c r="I112" s="469" t="s">
        <v>81</v>
      </c>
    </row>
    <row r="113" spans="2:9" ht="15" customHeight="1" x14ac:dyDescent="0.25">
      <c r="B113" s="75" t="s">
        <v>101</v>
      </c>
      <c r="C113" s="69" t="s">
        <v>225</v>
      </c>
      <c r="D113" s="76">
        <v>3</v>
      </c>
      <c r="E113" s="77">
        <f>IF(D113=1,HodinovaSazbaIT,IF(D113=2,HodinSazbaIT2,IF(D113=3,HodinSazbaIT3)))</f>
        <v>409.60648148148147</v>
      </c>
      <c r="F113" s="264">
        <v>0</v>
      </c>
      <c r="G113" s="10"/>
      <c r="I113" s="469" t="s">
        <v>81</v>
      </c>
    </row>
    <row r="114" spans="2:9" ht="15.6" customHeight="1" x14ac:dyDescent="0.25">
      <c r="B114" s="75" t="s">
        <v>252</v>
      </c>
      <c r="C114" s="63" t="s">
        <v>253</v>
      </c>
      <c r="D114" s="140"/>
      <c r="E114" s="77"/>
      <c r="F114" s="264">
        <v>0</v>
      </c>
      <c r="G114" s="10"/>
      <c r="I114" s="469" t="s">
        <v>81</v>
      </c>
    </row>
    <row r="115" spans="2:9" ht="15.75" thickBot="1" x14ac:dyDescent="0.3">
      <c r="B115" s="443" t="s">
        <v>109</v>
      </c>
      <c r="C115" s="444" t="s">
        <v>253</v>
      </c>
      <c r="D115" s="444"/>
      <c r="E115" s="444"/>
      <c r="F115" s="445">
        <f t="shared" ref="F115" si="0">$E111*F111+$E112*F112+$E113*F113+F114</f>
        <v>0</v>
      </c>
      <c r="G115" s="446" t="s">
        <v>304</v>
      </c>
    </row>
    <row r="116" spans="2:9" ht="16.5" thickTop="1" thickBot="1" x14ac:dyDescent="0.3">
      <c r="B116" s="79"/>
      <c r="C116" s="47"/>
      <c r="D116" s="47"/>
      <c r="E116" s="47"/>
      <c r="F116" s="80"/>
      <c r="G116" s="81"/>
    </row>
    <row r="117" spans="2:9" ht="15.75" thickBot="1" x14ac:dyDescent="0.3">
      <c r="B117" s="31" t="s">
        <v>98</v>
      </c>
      <c r="C117" s="23"/>
      <c r="D117" s="23"/>
      <c r="E117" s="23"/>
      <c r="F117" s="32"/>
      <c r="G117" s="231"/>
    </row>
    <row r="118" spans="2:9" x14ac:dyDescent="0.25">
      <c r="B118" s="49"/>
      <c r="C118" s="29" t="s">
        <v>107</v>
      </c>
      <c r="D118" s="40" t="s">
        <v>366</v>
      </c>
      <c r="E118" s="16" t="s">
        <v>275</v>
      </c>
      <c r="F118" s="164" t="s">
        <v>137</v>
      </c>
      <c r="G118" s="240" t="s">
        <v>126</v>
      </c>
    </row>
    <row r="119" spans="2:9" ht="23.1" customHeight="1" x14ac:dyDescent="0.25">
      <c r="B119" s="82" t="s">
        <v>441</v>
      </c>
      <c r="C119" s="69" t="s">
        <v>225</v>
      </c>
      <c r="D119" s="76">
        <v>1</v>
      </c>
      <c r="E119" s="77">
        <f t="shared" ref="E119:E130" si="1">IF(D119=1,HodinovaSazbaIT,IF(D119=2,HodinSazbaIT2,IF(D119=3,HodinSazbaIT3)))</f>
        <v>453.24074074074076</v>
      </c>
      <c r="F119" s="78">
        <v>0</v>
      </c>
      <c r="G119" s="10"/>
      <c r="I119" s="483" t="s">
        <v>90</v>
      </c>
    </row>
    <row r="120" spans="2:9" ht="18" customHeight="1" x14ac:dyDescent="0.25">
      <c r="B120" s="82" t="s">
        <v>438</v>
      </c>
      <c r="C120" s="69" t="s">
        <v>225</v>
      </c>
      <c r="D120" s="76">
        <v>2</v>
      </c>
      <c r="E120" s="77">
        <f t="shared" si="1"/>
        <v>434.62962962962962</v>
      </c>
      <c r="F120" s="78">
        <v>0</v>
      </c>
      <c r="G120" s="10"/>
      <c r="I120" s="483" t="s">
        <v>74</v>
      </c>
    </row>
    <row r="121" spans="2:9" ht="14.45" customHeight="1" x14ac:dyDescent="0.25">
      <c r="B121" s="82" t="s">
        <v>442</v>
      </c>
      <c r="C121" s="69" t="s">
        <v>225</v>
      </c>
      <c r="D121" s="76">
        <v>3</v>
      </c>
      <c r="E121" s="77">
        <f t="shared" si="1"/>
        <v>409.60648148148147</v>
      </c>
      <c r="F121" s="78">
        <v>0</v>
      </c>
      <c r="G121" s="10"/>
      <c r="I121" s="484" t="s">
        <v>91</v>
      </c>
    </row>
    <row r="122" spans="2:9" ht="14.45" customHeight="1" x14ac:dyDescent="0.25">
      <c r="B122" s="82" t="s">
        <v>439</v>
      </c>
      <c r="C122" s="69" t="s">
        <v>225</v>
      </c>
      <c r="D122" s="76">
        <v>2</v>
      </c>
      <c r="E122" s="77">
        <f t="shared" si="1"/>
        <v>434.62962962962962</v>
      </c>
      <c r="F122" s="78">
        <v>0</v>
      </c>
      <c r="G122" s="10"/>
      <c r="I122" s="484" t="s">
        <v>77</v>
      </c>
    </row>
    <row r="123" spans="2:9" x14ac:dyDescent="0.25">
      <c r="B123" s="82" t="s">
        <v>440</v>
      </c>
      <c r="C123" s="69" t="s">
        <v>225</v>
      </c>
      <c r="D123" s="76">
        <v>1</v>
      </c>
      <c r="E123" s="77">
        <f t="shared" si="1"/>
        <v>453.24074074074076</v>
      </c>
      <c r="F123" s="78">
        <v>0</v>
      </c>
      <c r="G123" s="10"/>
      <c r="I123" s="484" t="s">
        <v>92</v>
      </c>
    </row>
    <row r="124" spans="2:9" x14ac:dyDescent="0.25">
      <c r="B124" s="82" t="s">
        <v>443</v>
      </c>
      <c r="C124" s="69" t="s">
        <v>225</v>
      </c>
      <c r="D124" s="76">
        <v>2</v>
      </c>
      <c r="E124" s="77">
        <f t="shared" si="1"/>
        <v>434.62962962962962</v>
      </c>
      <c r="F124" s="78">
        <v>0</v>
      </c>
      <c r="G124" s="10"/>
      <c r="I124" s="484" t="s">
        <v>78</v>
      </c>
    </row>
    <row r="125" spans="2:9" x14ac:dyDescent="0.25">
      <c r="B125" s="82" t="s">
        <v>444</v>
      </c>
      <c r="C125" s="69" t="s">
        <v>225</v>
      </c>
      <c r="D125" s="76">
        <v>2</v>
      </c>
      <c r="E125" s="77">
        <f t="shared" si="1"/>
        <v>434.62962962962962</v>
      </c>
      <c r="F125" s="78">
        <v>0</v>
      </c>
      <c r="G125" s="10"/>
      <c r="I125" s="484" t="s">
        <v>93</v>
      </c>
    </row>
    <row r="126" spans="2:9" x14ac:dyDescent="0.25">
      <c r="B126" s="82" t="s">
        <v>445</v>
      </c>
      <c r="C126" s="69" t="s">
        <v>225</v>
      </c>
      <c r="D126" s="76">
        <v>2</v>
      </c>
      <c r="E126" s="77">
        <f t="shared" si="1"/>
        <v>434.62962962962962</v>
      </c>
      <c r="F126" s="78">
        <v>0</v>
      </c>
      <c r="G126" s="10"/>
      <c r="I126" s="484" t="s">
        <v>80</v>
      </c>
    </row>
    <row r="127" spans="2:9" x14ac:dyDescent="0.25">
      <c r="B127" s="82" t="s">
        <v>447</v>
      </c>
      <c r="C127" s="69" t="s">
        <v>225</v>
      </c>
      <c r="D127" s="76">
        <v>2</v>
      </c>
      <c r="E127" s="77">
        <f t="shared" si="1"/>
        <v>434.62962962962962</v>
      </c>
      <c r="F127" s="78">
        <v>0</v>
      </c>
      <c r="G127" s="10"/>
      <c r="I127" s="484" t="s">
        <v>94</v>
      </c>
    </row>
    <row r="128" spans="2:9" x14ac:dyDescent="0.25">
      <c r="B128" s="82" t="s">
        <v>446</v>
      </c>
      <c r="C128" s="69" t="s">
        <v>225</v>
      </c>
      <c r="D128" s="76">
        <v>2</v>
      </c>
      <c r="E128" s="77">
        <f t="shared" si="1"/>
        <v>434.62962962962962</v>
      </c>
      <c r="F128" s="78">
        <v>0</v>
      </c>
      <c r="G128" s="30"/>
      <c r="I128" s="483" t="s">
        <v>424</v>
      </c>
    </row>
    <row r="129" spans="2:9" x14ac:dyDescent="0.25">
      <c r="B129" s="75" t="s">
        <v>105</v>
      </c>
      <c r="C129" s="69" t="s">
        <v>225</v>
      </c>
      <c r="D129" s="76">
        <v>2</v>
      </c>
      <c r="E129" s="77">
        <f t="shared" si="1"/>
        <v>434.62962962962962</v>
      </c>
      <c r="F129" s="78">
        <v>0</v>
      </c>
      <c r="G129" s="30"/>
      <c r="I129" s="483" t="s">
        <v>84</v>
      </c>
    </row>
    <row r="130" spans="2:9" x14ac:dyDescent="0.25">
      <c r="B130" s="82" t="s">
        <v>280</v>
      </c>
      <c r="C130" s="69" t="s">
        <v>225</v>
      </c>
      <c r="D130" s="76">
        <v>3</v>
      </c>
      <c r="E130" s="77">
        <f t="shared" si="1"/>
        <v>409.60648148148147</v>
      </c>
      <c r="F130" s="78">
        <v>0</v>
      </c>
      <c r="G130" s="10"/>
      <c r="I130" s="483" t="s">
        <v>345</v>
      </c>
    </row>
    <row r="131" spans="2:9" x14ac:dyDescent="0.25">
      <c r="B131" s="92" t="s">
        <v>124</v>
      </c>
      <c r="C131" s="93" t="s">
        <v>225</v>
      </c>
      <c r="D131" s="76">
        <v>2</v>
      </c>
      <c r="E131" s="77">
        <f>IF(D131=1,HodinovaSazbaIT,IF(D131=2,HodinSazbaIT2,IF(D131=3,HodinSazbaIT3)))</f>
        <v>434.62962962962962</v>
      </c>
      <c r="F131" s="269">
        <v>0</v>
      </c>
      <c r="G131" s="160"/>
      <c r="I131" s="498" t="s">
        <v>433</v>
      </c>
    </row>
    <row r="132" spans="2:9" ht="15.6" customHeight="1" x14ac:dyDescent="0.25">
      <c r="B132" s="75" t="s">
        <v>256</v>
      </c>
      <c r="C132" s="69" t="s">
        <v>253</v>
      </c>
      <c r="D132" s="140"/>
      <c r="E132" s="77"/>
      <c r="F132" s="264">
        <v>0</v>
      </c>
      <c r="G132" s="10"/>
      <c r="I132" s="483" t="s">
        <v>84</v>
      </c>
    </row>
    <row r="133" spans="2:9" ht="15.75" thickBot="1" x14ac:dyDescent="0.3">
      <c r="B133" s="443" t="s">
        <v>110</v>
      </c>
      <c r="C133" s="444"/>
      <c r="D133" s="444"/>
      <c r="E133" s="444"/>
      <c r="F133" s="445">
        <f>(SUMIF($D119:$D131,1,F119:F131)*HodinovaSazbaIT)+(SUMIF($D119:$D131,2,F119:F131)*HodinSazbaIT2)+(SUMIF($D119:$D131,3,F119:F131)*HodinSazbaIT3)+F132</f>
        <v>0</v>
      </c>
      <c r="G133" s="446" t="s">
        <v>304</v>
      </c>
    </row>
    <row r="134" spans="2:9" ht="16.5" thickTop="1" thickBot="1" x14ac:dyDescent="0.3">
      <c r="B134" s="33"/>
      <c r="C134" s="34"/>
      <c r="D134" s="34"/>
      <c r="E134" s="34"/>
      <c r="F134" s="35"/>
      <c r="G134" s="34"/>
    </row>
    <row r="135" spans="2:9" ht="15.75" thickBot="1" x14ac:dyDescent="0.3">
      <c r="B135" s="22" t="s">
        <v>258</v>
      </c>
      <c r="C135" s="23"/>
      <c r="D135" s="23"/>
      <c r="E135" s="23"/>
      <c r="F135" s="32"/>
      <c r="G135" s="231"/>
    </row>
    <row r="136" spans="2:9" x14ac:dyDescent="0.25">
      <c r="B136" s="49"/>
      <c r="C136" s="29" t="s">
        <v>107</v>
      </c>
      <c r="D136" s="40" t="s">
        <v>366</v>
      </c>
      <c r="E136" s="16" t="s">
        <v>275</v>
      </c>
      <c r="F136" s="164" t="s">
        <v>137</v>
      </c>
      <c r="G136" s="240" t="s">
        <v>126</v>
      </c>
    </row>
    <row r="137" spans="2:9" ht="24.75" customHeight="1" x14ac:dyDescent="0.25">
      <c r="B137" s="75" t="s">
        <v>259</v>
      </c>
      <c r="C137" s="69" t="s">
        <v>225</v>
      </c>
      <c r="D137" s="76">
        <v>2</v>
      </c>
      <c r="E137" s="77">
        <f>IF(D137=1,HodinovaSazbaIT,IF(D137=2,HodinSazbaIT2,IF(D137=3,HodinSazbaIT3)))</f>
        <v>434.62962962962962</v>
      </c>
      <c r="F137" s="78">
        <v>0</v>
      </c>
      <c r="G137" s="10"/>
    </row>
    <row r="138" spans="2:9" x14ac:dyDescent="0.25">
      <c r="B138" s="75" t="s">
        <v>260</v>
      </c>
      <c r="C138" s="69" t="s">
        <v>225</v>
      </c>
      <c r="D138" s="76">
        <v>2</v>
      </c>
      <c r="E138" s="77">
        <f>IF(D138=1,HodinovaSazbaIT,IF(D138=2,HodinSazbaIT2,IF(D138=3,HodinSazbaIT3)))</f>
        <v>434.62962962962962</v>
      </c>
      <c r="F138" s="78">
        <v>0</v>
      </c>
      <c r="G138" s="10"/>
    </row>
    <row r="139" spans="2:9" x14ac:dyDescent="0.25">
      <c r="B139" s="36" t="s">
        <v>209</v>
      </c>
      <c r="C139" s="69" t="s">
        <v>225</v>
      </c>
      <c r="D139" s="76">
        <v>3</v>
      </c>
      <c r="E139" s="77">
        <f>IF(D139=1,HodinovaSazbaIT,IF(D139=2,HodinSazbaIT2,IF(D139=3,HodinSazbaIT3)))</f>
        <v>409.60648148148147</v>
      </c>
      <c r="F139" s="78">
        <v>0</v>
      </c>
      <c r="G139" s="30"/>
    </row>
    <row r="140" spans="2:9" x14ac:dyDescent="0.25">
      <c r="B140" s="36" t="s">
        <v>263</v>
      </c>
      <c r="C140" s="69" t="s">
        <v>253</v>
      </c>
      <c r="D140" s="140"/>
      <c r="E140" s="77"/>
      <c r="F140" s="267">
        <v>0</v>
      </c>
      <c r="G140" s="30"/>
    </row>
    <row r="141" spans="2:9" x14ac:dyDescent="0.25">
      <c r="B141" s="447" t="s">
        <v>111</v>
      </c>
      <c r="C141" s="448"/>
      <c r="D141" s="448"/>
      <c r="E141" s="448"/>
      <c r="F141" s="449">
        <f>$E137*F137+$E138*F138+$E139*F139</f>
        <v>0</v>
      </c>
      <c r="G141" s="450" t="s">
        <v>287</v>
      </c>
    </row>
    <row r="142" spans="2:9" ht="15.75" thickBot="1" x14ac:dyDescent="0.3">
      <c r="B142" s="451" t="s">
        <v>285</v>
      </c>
      <c r="C142" s="452"/>
      <c r="D142" s="452"/>
      <c r="E142" s="452"/>
      <c r="F142" s="453">
        <f>CelkemHodinRizeni+F140</f>
        <v>0</v>
      </c>
      <c r="G142" s="454" t="s">
        <v>286</v>
      </c>
      <c r="I142" s="468" t="s">
        <v>344</v>
      </c>
    </row>
    <row r="143" spans="2:9" ht="15.75" thickTop="1" x14ac:dyDescent="0.25">
      <c r="G143" s="84"/>
    </row>
    <row r="144" spans="2:9" ht="15.75" x14ac:dyDescent="0.25">
      <c r="B144" s="45" t="s">
        <v>255</v>
      </c>
    </row>
    <row r="145" spans="2:9" ht="8.25" customHeight="1" thickBot="1" x14ac:dyDescent="0.3"/>
    <row r="146" spans="2:9" ht="15.75" thickBot="1" x14ac:dyDescent="0.3">
      <c r="B146" s="22" t="s">
        <v>250</v>
      </c>
      <c r="C146" s="23"/>
      <c r="D146" s="23"/>
      <c r="E146" s="23"/>
      <c r="F146" s="24"/>
      <c r="G146" s="231"/>
    </row>
    <row r="147" spans="2:9" x14ac:dyDescent="0.25">
      <c r="B147" s="49" t="s">
        <v>18</v>
      </c>
      <c r="C147" s="49" t="s">
        <v>107</v>
      </c>
      <c r="D147" s="40" t="s">
        <v>366</v>
      </c>
      <c r="E147" s="16" t="s">
        <v>275</v>
      </c>
      <c r="F147" s="164" t="s">
        <v>137</v>
      </c>
      <c r="G147" s="240" t="s">
        <v>126</v>
      </c>
    </row>
    <row r="148" spans="2:9" x14ac:dyDescent="0.25">
      <c r="B148" s="69" t="s">
        <v>161</v>
      </c>
      <c r="C148" s="70" t="s">
        <v>106</v>
      </c>
      <c r="D148" s="76">
        <v>2</v>
      </c>
      <c r="E148" s="77">
        <f>IF(D148=1,HodinovaSazbaIT,IF(D148=2,HodinSazbaIT2,IF(D148=3,HodinSazbaIT3)))</f>
        <v>434.62962962962962</v>
      </c>
      <c r="F148" s="85">
        <v>0</v>
      </c>
      <c r="G148" s="160"/>
      <c r="I148" s="468" t="s">
        <v>9</v>
      </c>
    </row>
    <row r="149" spans="2:9" x14ac:dyDescent="0.25">
      <c r="B149" s="69" t="s">
        <v>226</v>
      </c>
      <c r="C149" s="70" t="s">
        <v>112</v>
      </c>
      <c r="D149" s="70"/>
      <c r="E149" s="70"/>
      <c r="F149" s="264">
        <v>0</v>
      </c>
      <c r="G149" s="237"/>
      <c r="I149" s="468" t="s">
        <v>9</v>
      </c>
    </row>
    <row r="150" spans="2:9" x14ac:dyDescent="0.25">
      <c r="B150" s="69" t="s">
        <v>162</v>
      </c>
      <c r="C150" s="70" t="s">
        <v>106</v>
      </c>
      <c r="D150" s="76">
        <v>1</v>
      </c>
      <c r="E150" s="77">
        <f>IF(D150=1,HodinovaSazbaIT,IF(D150=2,HodinSazbaIT2,IF(D150=3,HodinSazbaIT3)))</f>
        <v>453.24074074074076</v>
      </c>
      <c r="F150" s="85">
        <v>0</v>
      </c>
      <c r="G150" s="160"/>
      <c r="I150" s="468" t="s">
        <v>10</v>
      </c>
    </row>
    <row r="151" spans="2:9" ht="15.75" thickBot="1" x14ac:dyDescent="0.3">
      <c r="B151" s="86" t="s">
        <v>227</v>
      </c>
      <c r="C151" s="87" t="s">
        <v>112</v>
      </c>
      <c r="D151" s="88"/>
      <c r="E151" s="88"/>
      <c r="F151" s="267">
        <v>0</v>
      </c>
      <c r="G151" s="18"/>
      <c r="I151" s="468" t="s">
        <v>10</v>
      </c>
    </row>
    <row r="152" spans="2:9" ht="16.5" thickTop="1" thickBot="1" x14ac:dyDescent="0.3">
      <c r="B152" s="8" t="s">
        <v>303</v>
      </c>
      <c r="C152" s="9" t="s">
        <v>112</v>
      </c>
      <c r="D152" s="9"/>
      <c r="E152" s="9"/>
      <c r="F152" s="268">
        <f t="shared" ref="F152" si="2">$E148*F148+F149+$E150*F150+F151</f>
        <v>0</v>
      </c>
      <c r="G152" s="9" t="s">
        <v>298</v>
      </c>
    </row>
    <row r="153" spans="2:9" ht="18.75" thickTop="1" x14ac:dyDescent="0.25">
      <c r="B153" s="49" t="s">
        <v>18</v>
      </c>
      <c r="C153" s="49" t="s">
        <v>107</v>
      </c>
      <c r="D153" s="135" t="s">
        <v>329</v>
      </c>
      <c r="E153" s="16"/>
      <c r="F153" s="164" t="s">
        <v>137</v>
      </c>
      <c r="G153" s="240" t="s">
        <v>126</v>
      </c>
    </row>
    <row r="154" spans="2:9" ht="39" thickBot="1" x14ac:dyDescent="0.3">
      <c r="B154" s="499" t="s">
        <v>451</v>
      </c>
      <c r="C154" s="500"/>
      <c r="D154" s="501" t="s">
        <v>327</v>
      </c>
      <c r="E154" s="500"/>
      <c r="F154" s="502"/>
      <c r="G154" s="500" t="s">
        <v>455</v>
      </c>
    </row>
    <row r="155" spans="2:9" ht="16.5" thickTop="1" x14ac:dyDescent="0.25">
      <c r="B155" s="45"/>
      <c r="C155" s="70"/>
      <c r="D155" s="70"/>
      <c r="E155" s="70"/>
      <c r="F155" s="89"/>
      <c r="G155" s="74"/>
    </row>
    <row r="156" spans="2:9" ht="25.5" x14ac:dyDescent="0.25">
      <c r="B156" s="302" t="s">
        <v>246</v>
      </c>
      <c r="C156" s="49" t="s">
        <v>107</v>
      </c>
      <c r="D156" s="40" t="s">
        <v>366</v>
      </c>
      <c r="E156" s="16" t="s">
        <v>275</v>
      </c>
      <c r="F156" s="164" t="s">
        <v>137</v>
      </c>
      <c r="G156" s="232" t="s">
        <v>126</v>
      </c>
    </row>
    <row r="157" spans="2:9" x14ac:dyDescent="0.25">
      <c r="B157" s="92" t="s">
        <v>51</v>
      </c>
      <c r="C157" s="70" t="s">
        <v>106</v>
      </c>
      <c r="D157" s="76">
        <v>1</v>
      </c>
      <c r="E157" s="77">
        <f t="shared" ref="E157:E170" si="3">IF(D157=1,HodinovaSazbaIT,IF(D157=2,HodinSazbaIT2,IF(D157=3,HodinSazbaIT3)))</f>
        <v>453.24074074074076</v>
      </c>
      <c r="F157" s="269">
        <v>0</v>
      </c>
      <c r="G157" s="160"/>
      <c r="I157" s="468" t="s">
        <v>50</v>
      </c>
    </row>
    <row r="158" spans="2:9" x14ac:dyDescent="0.25">
      <c r="B158" s="92" t="s">
        <v>248</v>
      </c>
      <c r="C158" s="70" t="s">
        <v>106</v>
      </c>
      <c r="D158" s="76">
        <v>2</v>
      </c>
      <c r="E158" s="77">
        <f t="shared" si="3"/>
        <v>434.62962962962962</v>
      </c>
      <c r="F158" s="269">
        <v>0</v>
      </c>
      <c r="G158" s="237"/>
      <c r="I158" s="468" t="s">
        <v>52</v>
      </c>
    </row>
    <row r="159" spans="2:9" x14ac:dyDescent="0.25">
      <c r="B159" s="69" t="s">
        <v>54</v>
      </c>
      <c r="C159" s="70" t="s">
        <v>106</v>
      </c>
      <c r="D159" s="76">
        <v>2</v>
      </c>
      <c r="E159" s="77">
        <f t="shared" si="3"/>
        <v>434.62962962962962</v>
      </c>
      <c r="F159" s="269">
        <v>0</v>
      </c>
      <c r="G159" s="237"/>
      <c r="I159" s="468" t="s">
        <v>52</v>
      </c>
    </row>
    <row r="160" spans="2:9" x14ac:dyDescent="0.25">
      <c r="B160" s="69" t="s">
        <v>247</v>
      </c>
      <c r="C160" s="70" t="s">
        <v>106</v>
      </c>
      <c r="D160" s="76">
        <v>2</v>
      </c>
      <c r="E160" s="77">
        <f t="shared" si="3"/>
        <v>434.62962962962962</v>
      </c>
      <c r="F160" s="269">
        <v>0</v>
      </c>
      <c r="G160" s="160"/>
      <c r="I160" s="468" t="s">
        <v>55</v>
      </c>
    </row>
    <row r="161" spans="2:10" x14ac:dyDescent="0.25">
      <c r="B161" s="69" t="s">
        <v>249</v>
      </c>
      <c r="C161" s="70" t="s">
        <v>106</v>
      </c>
      <c r="D161" s="76">
        <v>3</v>
      </c>
      <c r="E161" s="77">
        <f t="shared" si="3"/>
        <v>409.60648148148147</v>
      </c>
      <c r="F161" s="269">
        <v>0</v>
      </c>
      <c r="G161" s="160"/>
      <c r="I161" s="468" t="s">
        <v>56</v>
      </c>
    </row>
    <row r="162" spans="2:10" x14ac:dyDescent="0.25">
      <c r="B162" s="92" t="s">
        <v>417</v>
      </c>
      <c r="C162" s="70" t="s">
        <v>106</v>
      </c>
      <c r="D162" s="76">
        <v>3</v>
      </c>
      <c r="E162" s="77">
        <f t="shared" si="3"/>
        <v>409.60648148148147</v>
      </c>
      <c r="F162" s="269">
        <v>0</v>
      </c>
      <c r="G162" s="160"/>
      <c r="I162" s="468" t="s">
        <v>57</v>
      </c>
    </row>
    <row r="163" spans="2:10" x14ac:dyDescent="0.25">
      <c r="B163" s="92" t="s">
        <v>416</v>
      </c>
      <c r="C163" s="70" t="s">
        <v>106</v>
      </c>
      <c r="D163" s="76">
        <v>2</v>
      </c>
      <c r="E163" s="77">
        <f>IF(D163=1,HodinovaSazbaIT,IF(D163=2,HodinSazbaIT2,IF(D163=3,HodinSazbaIT3)))</f>
        <v>434.62962962962962</v>
      </c>
      <c r="F163" s="269">
        <v>0</v>
      </c>
      <c r="G163" s="160"/>
      <c r="I163" s="468" t="s">
        <v>57</v>
      </c>
    </row>
    <row r="164" spans="2:10" x14ac:dyDescent="0.25">
      <c r="B164" s="69" t="s">
        <v>261</v>
      </c>
      <c r="C164" s="70" t="s">
        <v>106</v>
      </c>
      <c r="D164" s="76">
        <v>2</v>
      </c>
      <c r="E164" s="77">
        <f t="shared" si="3"/>
        <v>434.62962962962962</v>
      </c>
      <c r="F164" s="269">
        <v>0</v>
      </c>
      <c r="G164" s="237"/>
      <c r="I164" s="468" t="s">
        <v>58</v>
      </c>
    </row>
    <row r="165" spans="2:10" x14ac:dyDescent="0.25">
      <c r="B165" s="69" t="s">
        <v>262</v>
      </c>
      <c r="C165" s="70" t="s">
        <v>106</v>
      </c>
      <c r="D165" s="76">
        <v>2</v>
      </c>
      <c r="E165" s="77">
        <f t="shared" si="3"/>
        <v>434.62962962962962</v>
      </c>
      <c r="F165" s="269">
        <v>0</v>
      </c>
      <c r="G165" s="237"/>
      <c r="I165" s="468" t="s">
        <v>61</v>
      </c>
    </row>
    <row r="166" spans="2:10" x14ac:dyDescent="0.25">
      <c r="B166" s="69" t="s">
        <v>63</v>
      </c>
      <c r="C166" s="70" t="s">
        <v>106</v>
      </c>
      <c r="D166" s="76">
        <v>2</v>
      </c>
      <c r="E166" s="77">
        <f t="shared" si="3"/>
        <v>434.62962962962962</v>
      </c>
      <c r="F166" s="269">
        <v>0</v>
      </c>
      <c r="G166" s="237"/>
      <c r="I166" s="468" t="s">
        <v>62</v>
      </c>
    </row>
    <row r="167" spans="2:10" x14ac:dyDescent="0.25">
      <c r="B167" s="69" t="s">
        <v>65</v>
      </c>
      <c r="C167" s="70" t="s">
        <v>106</v>
      </c>
      <c r="D167" s="76">
        <v>2</v>
      </c>
      <c r="E167" s="77">
        <f t="shared" si="3"/>
        <v>434.62962962962962</v>
      </c>
      <c r="F167" s="269">
        <v>0</v>
      </c>
      <c r="G167" s="160"/>
      <c r="I167" s="468" t="s">
        <v>64</v>
      </c>
    </row>
    <row r="168" spans="2:10" x14ac:dyDescent="0.25">
      <c r="B168" s="69" t="s">
        <v>67</v>
      </c>
      <c r="C168" s="70" t="s">
        <v>106</v>
      </c>
      <c r="D168" s="76">
        <v>2</v>
      </c>
      <c r="E168" s="77">
        <f t="shared" si="3"/>
        <v>434.62962962962962</v>
      </c>
      <c r="F168" s="269">
        <v>0</v>
      </c>
      <c r="G168" s="237"/>
      <c r="I168" s="468" t="s">
        <v>66</v>
      </c>
    </row>
    <row r="169" spans="2:10" x14ac:dyDescent="0.25">
      <c r="B169" s="69" t="s">
        <v>69</v>
      </c>
      <c r="C169" s="70" t="s">
        <v>106</v>
      </c>
      <c r="D169" s="76">
        <v>2</v>
      </c>
      <c r="E169" s="77">
        <f t="shared" si="3"/>
        <v>434.62962962962962</v>
      </c>
      <c r="F169" s="269">
        <v>0</v>
      </c>
      <c r="G169" s="160"/>
      <c r="I169" s="468" t="s">
        <v>68</v>
      </c>
      <c r="J169" s="139"/>
    </row>
    <row r="170" spans="2:10" x14ac:dyDescent="0.25">
      <c r="B170" s="92" t="s">
        <v>288</v>
      </c>
      <c r="C170" s="93" t="s">
        <v>106</v>
      </c>
      <c r="D170" s="76">
        <v>2</v>
      </c>
      <c r="E170" s="77">
        <f t="shared" si="3"/>
        <v>434.62962962962962</v>
      </c>
      <c r="F170" s="269">
        <v>0</v>
      </c>
      <c r="G170" s="160"/>
      <c r="I170" s="468" t="s">
        <v>283</v>
      </c>
    </row>
    <row r="171" spans="2:10" ht="17.100000000000001" customHeight="1" thickBot="1" x14ac:dyDescent="0.3">
      <c r="B171" s="92" t="s">
        <v>228</v>
      </c>
      <c r="C171" s="94" t="s">
        <v>112</v>
      </c>
      <c r="D171" s="90"/>
      <c r="E171" s="90"/>
      <c r="F171" s="71">
        <v>0</v>
      </c>
      <c r="G171" s="160"/>
      <c r="I171" s="468" t="s">
        <v>284</v>
      </c>
    </row>
    <row r="172" spans="2:10" ht="16.5" thickTop="1" thickBot="1" x14ac:dyDescent="0.3">
      <c r="B172" s="8" t="s">
        <v>302</v>
      </c>
      <c r="C172" s="9" t="s">
        <v>112</v>
      </c>
      <c r="D172" s="9"/>
      <c r="E172" s="9"/>
      <c r="F172" s="268">
        <f>(SUMIF($D157:$D170,1,F157:F170)*HodinovaSazbaIT)+(SUMIF($D157:$D170,2,F157:F170)*HodinSazbaIT2)+(SUMIF($D157:$D170,3,F157:F170)*HodinSazbaIT3)+F171</f>
        <v>0</v>
      </c>
      <c r="G172" s="9" t="s">
        <v>298</v>
      </c>
    </row>
    <row r="173" spans="2:10" ht="26.25" thickTop="1" x14ac:dyDescent="0.25">
      <c r="B173" s="302" t="s">
        <v>246</v>
      </c>
      <c r="C173" s="49" t="s">
        <v>107</v>
      </c>
      <c r="D173" s="135" t="s">
        <v>329</v>
      </c>
      <c r="E173" s="16"/>
      <c r="F173" s="164" t="s">
        <v>137</v>
      </c>
      <c r="G173" s="240" t="s">
        <v>126</v>
      </c>
    </row>
    <row r="174" spans="2:10" ht="39" thickBot="1" x14ac:dyDescent="0.3">
      <c r="B174" s="499" t="s">
        <v>451</v>
      </c>
      <c r="C174" s="500"/>
      <c r="D174" s="501" t="s">
        <v>327</v>
      </c>
      <c r="E174" s="500"/>
      <c r="F174" s="502"/>
      <c r="G174" s="500" t="s">
        <v>455</v>
      </c>
    </row>
    <row r="175" spans="2:10" ht="15.75" thickTop="1" x14ac:dyDescent="0.25">
      <c r="B175" s="12"/>
      <c r="C175" s="13"/>
      <c r="D175" s="13"/>
      <c r="E175" s="13"/>
      <c r="F175" s="503"/>
      <c r="G175" s="13"/>
    </row>
    <row r="176" spans="2:10" ht="18" x14ac:dyDescent="0.25">
      <c r="B176" s="302" t="s">
        <v>449</v>
      </c>
      <c r="C176" s="49" t="s">
        <v>107</v>
      </c>
      <c r="D176" s="405" t="s">
        <v>329</v>
      </c>
      <c r="E176" s="16"/>
      <c r="F176" s="164" t="s">
        <v>137</v>
      </c>
      <c r="G176" s="232" t="s">
        <v>126</v>
      </c>
    </row>
    <row r="177" spans="2:9" ht="15.75" thickBot="1" x14ac:dyDescent="0.3">
      <c r="B177" s="294" t="s">
        <v>45</v>
      </c>
      <c r="C177" s="487" t="s">
        <v>112</v>
      </c>
      <c r="D177" s="296" t="s">
        <v>327</v>
      </c>
      <c r="E177" s="488"/>
      <c r="F177" s="489">
        <v>0</v>
      </c>
      <c r="G177" s="299"/>
      <c r="I177" s="469" t="s">
        <v>43</v>
      </c>
    </row>
    <row r="178" spans="2:9" ht="15.75" thickTop="1" x14ac:dyDescent="0.25">
      <c r="B178" s="365" t="s">
        <v>47</v>
      </c>
      <c r="C178" s="70" t="s">
        <v>106</v>
      </c>
      <c r="D178" s="76">
        <v>2</v>
      </c>
      <c r="E178" s="77">
        <f>IF(D178=1,HodinovaSazbaIT,IF(D178=2,HodinSazbaIT2,IF(D178=3,HodinSazbaIT3)))</f>
        <v>434.62962962962962</v>
      </c>
      <c r="F178" s="269">
        <v>0</v>
      </c>
      <c r="G178" s="160"/>
      <c r="I178" s="469" t="s">
        <v>46</v>
      </c>
    </row>
    <row r="179" spans="2:9" ht="26.25" thickBot="1" x14ac:dyDescent="0.3">
      <c r="B179" s="294" t="s">
        <v>448</v>
      </c>
      <c r="C179" s="487" t="s">
        <v>112</v>
      </c>
      <c r="D179" s="296" t="s">
        <v>327</v>
      </c>
      <c r="E179" s="488"/>
      <c r="F179" s="497">
        <f>E178*F178</f>
        <v>0</v>
      </c>
      <c r="G179" s="299" t="s">
        <v>450</v>
      </c>
    </row>
    <row r="180" spans="2:9" ht="15.75" thickTop="1" x14ac:dyDescent="0.25"/>
    <row r="182" spans="2:9" x14ac:dyDescent="0.25">
      <c r="B182" s="111" t="s">
        <v>360</v>
      </c>
      <c r="C182" s="95"/>
      <c r="D182" s="95"/>
      <c r="E182" s="95"/>
      <c r="F182" s="110"/>
    </row>
    <row r="183" spans="2:9" x14ac:dyDescent="0.25">
      <c r="B183" s="120"/>
      <c r="C183" s="520" t="s">
        <v>295</v>
      </c>
      <c r="D183" s="520"/>
      <c r="E183" s="520"/>
      <c r="F183" s="521"/>
      <c r="G183" s="91" t="s">
        <v>361</v>
      </c>
    </row>
    <row r="184" spans="2:9" x14ac:dyDescent="0.25">
      <c r="B184" s="120" t="s">
        <v>305</v>
      </c>
      <c r="C184" s="121" t="s">
        <v>292</v>
      </c>
      <c r="D184" s="276" t="s">
        <v>293</v>
      </c>
      <c r="E184" s="276"/>
      <c r="F184" s="121" t="s">
        <v>294</v>
      </c>
    </row>
    <row r="185" spans="2:9" x14ac:dyDescent="0.25">
      <c r="B185" s="114" t="s">
        <v>223</v>
      </c>
      <c r="C185" s="115">
        <f>SUMIF($D111:$D113,1,$F111:$F113)</f>
        <v>0</v>
      </c>
      <c r="D185" s="115">
        <f>SUMIF($D111:$D113,2,$F111:$F113)</f>
        <v>0</v>
      </c>
      <c r="E185" s="116"/>
      <c r="F185" s="115">
        <f>SUMIF($D111:$D113,3,$F111:$F113)</f>
        <v>0</v>
      </c>
    </row>
    <row r="186" spans="2:9" x14ac:dyDescent="0.25">
      <c r="B186" s="114" t="s">
        <v>98</v>
      </c>
      <c r="C186" s="115">
        <f>SUMIF($D119:$D130,1,$F119:$F130)</f>
        <v>0</v>
      </c>
      <c r="D186" s="115">
        <f>SUMIF($D119:$D130,2,$F119:$F130)</f>
        <v>0</v>
      </c>
      <c r="E186" s="116"/>
      <c r="F186" s="115">
        <f>SUMIF($D119:$D130,3,$F119:$F130)</f>
        <v>0</v>
      </c>
      <c r="G186" s="91" t="s">
        <v>361</v>
      </c>
    </row>
    <row r="187" spans="2:9" x14ac:dyDescent="0.25">
      <c r="B187" s="114" t="s">
        <v>258</v>
      </c>
      <c r="C187" s="115">
        <f>SUMIF($D137:$D139,1,$F137:$F139)</f>
        <v>0</v>
      </c>
      <c r="D187" s="115">
        <f>SUMIF($D137:$D139,2,$F137:$F139)</f>
        <v>0</v>
      </c>
      <c r="E187" s="116"/>
      <c r="F187" s="115">
        <f>SUMIF($D137:$D139,3,$F137:$F139)</f>
        <v>0</v>
      </c>
    </row>
    <row r="188" spans="2:9" x14ac:dyDescent="0.25">
      <c r="B188" s="120" t="s">
        <v>300</v>
      </c>
      <c r="C188" s="121">
        <f>SUM(C185:C187)</f>
        <v>0</v>
      </c>
      <c r="D188" s="121">
        <f>SUM(D185:D187)</f>
        <v>0</v>
      </c>
      <c r="E188" s="276"/>
      <c r="F188" s="121">
        <f>SUM(F185:F187)</f>
        <v>0</v>
      </c>
    </row>
    <row r="189" spans="2:9" ht="6.75" customHeight="1" x14ac:dyDescent="0.25">
      <c r="B189" s="120"/>
      <c r="C189" s="278"/>
      <c r="D189" s="275"/>
      <c r="E189" s="275"/>
      <c r="F189" s="276"/>
    </row>
    <row r="190" spans="2:9" x14ac:dyDescent="0.25">
      <c r="B190" s="122"/>
      <c r="C190" s="522" t="s">
        <v>299</v>
      </c>
      <c r="D190" s="523"/>
      <c r="E190" s="523"/>
      <c r="F190" s="524"/>
    </row>
    <row r="191" spans="2:9" x14ac:dyDescent="0.25">
      <c r="B191" s="123" t="s">
        <v>291</v>
      </c>
      <c r="C191" s="124" t="s">
        <v>292</v>
      </c>
      <c r="D191" s="277" t="s">
        <v>293</v>
      </c>
      <c r="E191" s="277"/>
      <c r="F191" s="124" t="s">
        <v>294</v>
      </c>
    </row>
    <row r="192" spans="2:9" x14ac:dyDescent="0.25">
      <c r="B192" s="114" t="s">
        <v>18</v>
      </c>
      <c r="C192" s="115">
        <f>SUMIF($D148:$D151,1,$F148:$F151)</f>
        <v>0</v>
      </c>
      <c r="D192" s="115">
        <f>SUMIF($D148:$D151,2,$F148:$F151)</f>
        <v>0</v>
      </c>
      <c r="E192" s="116"/>
      <c r="F192" s="115">
        <f>SUMIF($D148:$D151,3,$F148:$F151)</f>
        <v>0</v>
      </c>
    </row>
    <row r="193" spans="2:6" x14ac:dyDescent="0.25">
      <c r="B193" s="114" t="s">
        <v>49</v>
      </c>
      <c r="C193" s="115">
        <f>SUMIF($D157:$D170,1,$F157:$F170)</f>
        <v>0</v>
      </c>
      <c r="D193" s="115">
        <f>SUMIF($D157:$D170,2,$F157:$F170)</f>
        <v>0</v>
      </c>
      <c r="E193" s="116"/>
      <c r="F193" s="115">
        <f>SUMIF($D157:$D170,3,$F157:$F170)</f>
        <v>0</v>
      </c>
    </row>
    <row r="194" spans="2:6" x14ac:dyDescent="0.25">
      <c r="B194" s="123" t="s">
        <v>300</v>
      </c>
      <c r="C194" s="124">
        <f>SUM(C192:C193)</f>
        <v>0</v>
      </c>
      <c r="D194" s="124">
        <f>SUM(D192:D193)</f>
        <v>0</v>
      </c>
      <c r="E194" s="277"/>
      <c r="F194" s="124">
        <f>SUM(F192:F193)</f>
        <v>0</v>
      </c>
    </row>
  </sheetData>
  <mergeCells count="4">
    <mergeCell ref="D69:D72"/>
    <mergeCell ref="D77:D78"/>
    <mergeCell ref="C183:F183"/>
    <mergeCell ref="C190:F190"/>
  </mergeCells>
  <dataValidations count="3">
    <dataValidation type="list" allowBlank="1" showInputMessage="1" showErrorMessage="1" sqref="WVJ983074:WVK983074 IX65570:IY65570 ST65570:SU65570 ACP65570:ACQ65570 AML65570:AMM65570 AWH65570:AWI65570 BGD65570:BGE65570 BPZ65570:BQA65570 BZV65570:BZW65570 CJR65570:CJS65570 CTN65570:CTO65570 DDJ65570:DDK65570 DNF65570:DNG65570 DXB65570:DXC65570 EGX65570:EGY65570 EQT65570:EQU65570 FAP65570:FAQ65570 FKL65570:FKM65570 FUH65570:FUI65570 GED65570:GEE65570 GNZ65570:GOA65570 GXV65570:GXW65570 HHR65570:HHS65570 HRN65570:HRO65570 IBJ65570:IBK65570 ILF65570:ILG65570 IVB65570:IVC65570 JEX65570:JEY65570 JOT65570:JOU65570 JYP65570:JYQ65570 KIL65570:KIM65570 KSH65570:KSI65570 LCD65570:LCE65570 LLZ65570:LMA65570 LVV65570:LVW65570 MFR65570:MFS65570 MPN65570:MPO65570 MZJ65570:MZK65570 NJF65570:NJG65570 NTB65570:NTC65570 OCX65570:OCY65570 OMT65570:OMU65570 OWP65570:OWQ65570 PGL65570:PGM65570 PQH65570:PQI65570 QAD65570:QAE65570 QJZ65570:QKA65570 QTV65570:QTW65570 RDR65570:RDS65570 RNN65570:RNO65570 RXJ65570:RXK65570 SHF65570:SHG65570 SRB65570:SRC65570 TAX65570:TAY65570 TKT65570:TKU65570 TUP65570:TUQ65570 UEL65570:UEM65570 UOH65570:UOI65570 UYD65570:UYE65570 VHZ65570:VIA65570 VRV65570:VRW65570 WBR65570:WBS65570 WLN65570:WLO65570 WVJ65570:WVK65570 IX131106:IY131106 ST131106:SU131106 ACP131106:ACQ131106 AML131106:AMM131106 AWH131106:AWI131106 BGD131106:BGE131106 BPZ131106:BQA131106 BZV131106:BZW131106 CJR131106:CJS131106 CTN131106:CTO131106 DDJ131106:DDK131106 DNF131106:DNG131106 DXB131106:DXC131106 EGX131106:EGY131106 EQT131106:EQU131106 FAP131106:FAQ131106 FKL131106:FKM131106 FUH131106:FUI131106 GED131106:GEE131106 GNZ131106:GOA131106 GXV131106:GXW131106 HHR131106:HHS131106 HRN131106:HRO131106 IBJ131106:IBK131106 ILF131106:ILG131106 IVB131106:IVC131106 JEX131106:JEY131106 JOT131106:JOU131106 JYP131106:JYQ131106 KIL131106:KIM131106 KSH131106:KSI131106 LCD131106:LCE131106 LLZ131106:LMA131106 LVV131106:LVW131106 MFR131106:MFS131106 MPN131106:MPO131106 MZJ131106:MZK131106 NJF131106:NJG131106 NTB131106:NTC131106 OCX131106:OCY131106 OMT131106:OMU131106 OWP131106:OWQ131106 PGL131106:PGM131106 PQH131106:PQI131106 QAD131106:QAE131106 QJZ131106:QKA131106 QTV131106:QTW131106 RDR131106:RDS131106 RNN131106:RNO131106 RXJ131106:RXK131106 SHF131106:SHG131106 SRB131106:SRC131106 TAX131106:TAY131106 TKT131106:TKU131106 TUP131106:TUQ131106 UEL131106:UEM131106 UOH131106:UOI131106 UYD131106:UYE131106 VHZ131106:VIA131106 VRV131106:VRW131106 WBR131106:WBS131106 WLN131106:WLO131106 WVJ131106:WVK131106 IX196642:IY196642 ST196642:SU196642 ACP196642:ACQ196642 AML196642:AMM196642 AWH196642:AWI196642 BGD196642:BGE196642 BPZ196642:BQA196642 BZV196642:BZW196642 CJR196642:CJS196642 CTN196642:CTO196642 DDJ196642:DDK196642 DNF196642:DNG196642 DXB196642:DXC196642 EGX196642:EGY196642 EQT196642:EQU196642 FAP196642:FAQ196642 FKL196642:FKM196642 FUH196642:FUI196642 GED196642:GEE196642 GNZ196642:GOA196642 GXV196642:GXW196642 HHR196642:HHS196642 HRN196642:HRO196642 IBJ196642:IBK196642 ILF196642:ILG196642 IVB196642:IVC196642 JEX196642:JEY196642 JOT196642:JOU196642 JYP196642:JYQ196642 KIL196642:KIM196642 KSH196642:KSI196642 LCD196642:LCE196642 LLZ196642:LMA196642 LVV196642:LVW196642 MFR196642:MFS196642 MPN196642:MPO196642 MZJ196642:MZK196642 NJF196642:NJG196642 NTB196642:NTC196642 OCX196642:OCY196642 OMT196642:OMU196642 OWP196642:OWQ196642 PGL196642:PGM196642 PQH196642:PQI196642 QAD196642:QAE196642 QJZ196642:QKA196642 QTV196642:QTW196642 RDR196642:RDS196642 RNN196642:RNO196642 RXJ196642:RXK196642 SHF196642:SHG196642 SRB196642:SRC196642 TAX196642:TAY196642 TKT196642:TKU196642 TUP196642:TUQ196642 UEL196642:UEM196642 UOH196642:UOI196642 UYD196642:UYE196642 VHZ196642:VIA196642 VRV196642:VRW196642 WBR196642:WBS196642 WLN196642:WLO196642 WVJ196642:WVK196642 IX262178:IY262178 ST262178:SU262178 ACP262178:ACQ262178 AML262178:AMM262178 AWH262178:AWI262178 BGD262178:BGE262178 BPZ262178:BQA262178 BZV262178:BZW262178 CJR262178:CJS262178 CTN262178:CTO262178 DDJ262178:DDK262178 DNF262178:DNG262178 DXB262178:DXC262178 EGX262178:EGY262178 EQT262178:EQU262178 FAP262178:FAQ262178 FKL262178:FKM262178 FUH262178:FUI262178 GED262178:GEE262178 GNZ262178:GOA262178 GXV262178:GXW262178 HHR262178:HHS262178 HRN262178:HRO262178 IBJ262178:IBK262178 ILF262178:ILG262178 IVB262178:IVC262178 JEX262178:JEY262178 JOT262178:JOU262178 JYP262178:JYQ262178 KIL262178:KIM262178 KSH262178:KSI262178 LCD262178:LCE262178 LLZ262178:LMA262178 LVV262178:LVW262178 MFR262178:MFS262178 MPN262178:MPO262178 MZJ262178:MZK262178 NJF262178:NJG262178 NTB262178:NTC262178 OCX262178:OCY262178 OMT262178:OMU262178 OWP262178:OWQ262178 PGL262178:PGM262178 PQH262178:PQI262178 QAD262178:QAE262178 QJZ262178:QKA262178 QTV262178:QTW262178 RDR262178:RDS262178 RNN262178:RNO262178 RXJ262178:RXK262178 SHF262178:SHG262178 SRB262178:SRC262178 TAX262178:TAY262178 TKT262178:TKU262178 TUP262178:TUQ262178 UEL262178:UEM262178 UOH262178:UOI262178 UYD262178:UYE262178 VHZ262178:VIA262178 VRV262178:VRW262178 WBR262178:WBS262178 WLN262178:WLO262178 WVJ262178:WVK262178 IX327714:IY327714 ST327714:SU327714 ACP327714:ACQ327714 AML327714:AMM327714 AWH327714:AWI327714 BGD327714:BGE327714 BPZ327714:BQA327714 BZV327714:BZW327714 CJR327714:CJS327714 CTN327714:CTO327714 DDJ327714:DDK327714 DNF327714:DNG327714 DXB327714:DXC327714 EGX327714:EGY327714 EQT327714:EQU327714 FAP327714:FAQ327714 FKL327714:FKM327714 FUH327714:FUI327714 GED327714:GEE327714 GNZ327714:GOA327714 GXV327714:GXW327714 HHR327714:HHS327714 HRN327714:HRO327714 IBJ327714:IBK327714 ILF327714:ILG327714 IVB327714:IVC327714 JEX327714:JEY327714 JOT327714:JOU327714 JYP327714:JYQ327714 KIL327714:KIM327714 KSH327714:KSI327714 LCD327714:LCE327714 LLZ327714:LMA327714 LVV327714:LVW327714 MFR327714:MFS327714 MPN327714:MPO327714 MZJ327714:MZK327714 NJF327714:NJG327714 NTB327714:NTC327714 OCX327714:OCY327714 OMT327714:OMU327714 OWP327714:OWQ327714 PGL327714:PGM327714 PQH327714:PQI327714 QAD327714:QAE327714 QJZ327714:QKA327714 QTV327714:QTW327714 RDR327714:RDS327714 RNN327714:RNO327714 RXJ327714:RXK327714 SHF327714:SHG327714 SRB327714:SRC327714 TAX327714:TAY327714 TKT327714:TKU327714 TUP327714:TUQ327714 UEL327714:UEM327714 UOH327714:UOI327714 UYD327714:UYE327714 VHZ327714:VIA327714 VRV327714:VRW327714 WBR327714:WBS327714 WLN327714:WLO327714 WVJ327714:WVK327714 IX393250:IY393250 ST393250:SU393250 ACP393250:ACQ393250 AML393250:AMM393250 AWH393250:AWI393250 BGD393250:BGE393250 BPZ393250:BQA393250 BZV393250:BZW393250 CJR393250:CJS393250 CTN393250:CTO393250 DDJ393250:DDK393250 DNF393250:DNG393250 DXB393250:DXC393250 EGX393250:EGY393250 EQT393250:EQU393250 FAP393250:FAQ393250 FKL393250:FKM393250 FUH393250:FUI393250 GED393250:GEE393250 GNZ393250:GOA393250 GXV393250:GXW393250 HHR393250:HHS393250 HRN393250:HRO393250 IBJ393250:IBK393250 ILF393250:ILG393250 IVB393250:IVC393250 JEX393250:JEY393250 JOT393250:JOU393250 JYP393250:JYQ393250 KIL393250:KIM393250 KSH393250:KSI393250 LCD393250:LCE393250 LLZ393250:LMA393250 LVV393250:LVW393250 MFR393250:MFS393250 MPN393250:MPO393250 MZJ393250:MZK393250 NJF393250:NJG393250 NTB393250:NTC393250 OCX393250:OCY393250 OMT393250:OMU393250 OWP393250:OWQ393250 PGL393250:PGM393250 PQH393250:PQI393250 QAD393250:QAE393250 QJZ393250:QKA393250 QTV393250:QTW393250 RDR393250:RDS393250 RNN393250:RNO393250 RXJ393250:RXK393250 SHF393250:SHG393250 SRB393250:SRC393250 TAX393250:TAY393250 TKT393250:TKU393250 TUP393250:TUQ393250 UEL393250:UEM393250 UOH393250:UOI393250 UYD393250:UYE393250 VHZ393250:VIA393250 VRV393250:VRW393250 WBR393250:WBS393250 WLN393250:WLO393250 WVJ393250:WVK393250 IX458786:IY458786 ST458786:SU458786 ACP458786:ACQ458786 AML458786:AMM458786 AWH458786:AWI458786 BGD458786:BGE458786 BPZ458786:BQA458786 BZV458786:BZW458786 CJR458786:CJS458786 CTN458786:CTO458786 DDJ458786:DDK458786 DNF458786:DNG458786 DXB458786:DXC458786 EGX458786:EGY458786 EQT458786:EQU458786 FAP458786:FAQ458786 FKL458786:FKM458786 FUH458786:FUI458786 GED458786:GEE458786 GNZ458786:GOA458786 GXV458786:GXW458786 HHR458786:HHS458786 HRN458786:HRO458786 IBJ458786:IBK458786 ILF458786:ILG458786 IVB458786:IVC458786 JEX458786:JEY458786 JOT458786:JOU458786 JYP458786:JYQ458786 KIL458786:KIM458786 KSH458786:KSI458786 LCD458786:LCE458786 LLZ458786:LMA458786 LVV458786:LVW458786 MFR458786:MFS458786 MPN458786:MPO458786 MZJ458786:MZK458786 NJF458786:NJG458786 NTB458786:NTC458786 OCX458786:OCY458786 OMT458786:OMU458786 OWP458786:OWQ458786 PGL458786:PGM458786 PQH458786:PQI458786 QAD458786:QAE458786 QJZ458786:QKA458786 QTV458786:QTW458786 RDR458786:RDS458786 RNN458786:RNO458786 RXJ458786:RXK458786 SHF458786:SHG458786 SRB458786:SRC458786 TAX458786:TAY458786 TKT458786:TKU458786 TUP458786:TUQ458786 UEL458786:UEM458786 UOH458786:UOI458786 UYD458786:UYE458786 VHZ458786:VIA458786 VRV458786:VRW458786 WBR458786:WBS458786 WLN458786:WLO458786 WVJ458786:WVK458786 IX524322:IY524322 ST524322:SU524322 ACP524322:ACQ524322 AML524322:AMM524322 AWH524322:AWI524322 BGD524322:BGE524322 BPZ524322:BQA524322 BZV524322:BZW524322 CJR524322:CJS524322 CTN524322:CTO524322 DDJ524322:DDK524322 DNF524322:DNG524322 DXB524322:DXC524322 EGX524322:EGY524322 EQT524322:EQU524322 FAP524322:FAQ524322 FKL524322:FKM524322 FUH524322:FUI524322 GED524322:GEE524322 GNZ524322:GOA524322 GXV524322:GXW524322 HHR524322:HHS524322 HRN524322:HRO524322 IBJ524322:IBK524322 ILF524322:ILG524322 IVB524322:IVC524322 JEX524322:JEY524322 JOT524322:JOU524322 JYP524322:JYQ524322 KIL524322:KIM524322 KSH524322:KSI524322 LCD524322:LCE524322 LLZ524322:LMA524322 LVV524322:LVW524322 MFR524322:MFS524322 MPN524322:MPO524322 MZJ524322:MZK524322 NJF524322:NJG524322 NTB524322:NTC524322 OCX524322:OCY524322 OMT524322:OMU524322 OWP524322:OWQ524322 PGL524322:PGM524322 PQH524322:PQI524322 QAD524322:QAE524322 QJZ524322:QKA524322 QTV524322:QTW524322 RDR524322:RDS524322 RNN524322:RNO524322 RXJ524322:RXK524322 SHF524322:SHG524322 SRB524322:SRC524322 TAX524322:TAY524322 TKT524322:TKU524322 TUP524322:TUQ524322 UEL524322:UEM524322 UOH524322:UOI524322 UYD524322:UYE524322 VHZ524322:VIA524322 VRV524322:VRW524322 WBR524322:WBS524322 WLN524322:WLO524322 WVJ524322:WVK524322 IX589858:IY589858 ST589858:SU589858 ACP589858:ACQ589858 AML589858:AMM589858 AWH589858:AWI589858 BGD589858:BGE589858 BPZ589858:BQA589858 BZV589858:BZW589858 CJR589858:CJS589858 CTN589858:CTO589858 DDJ589858:DDK589858 DNF589858:DNG589858 DXB589858:DXC589858 EGX589858:EGY589858 EQT589858:EQU589858 FAP589858:FAQ589858 FKL589858:FKM589858 FUH589858:FUI589858 GED589858:GEE589858 GNZ589858:GOA589858 GXV589858:GXW589858 HHR589858:HHS589858 HRN589858:HRO589858 IBJ589858:IBK589858 ILF589858:ILG589858 IVB589858:IVC589858 JEX589858:JEY589858 JOT589858:JOU589858 JYP589858:JYQ589858 KIL589858:KIM589858 KSH589858:KSI589858 LCD589858:LCE589858 LLZ589858:LMA589858 LVV589858:LVW589858 MFR589858:MFS589858 MPN589858:MPO589858 MZJ589858:MZK589858 NJF589858:NJG589858 NTB589858:NTC589858 OCX589858:OCY589858 OMT589858:OMU589858 OWP589858:OWQ589858 PGL589858:PGM589858 PQH589858:PQI589858 QAD589858:QAE589858 QJZ589858:QKA589858 QTV589858:QTW589858 RDR589858:RDS589858 RNN589858:RNO589858 RXJ589858:RXK589858 SHF589858:SHG589858 SRB589858:SRC589858 TAX589858:TAY589858 TKT589858:TKU589858 TUP589858:TUQ589858 UEL589858:UEM589858 UOH589858:UOI589858 UYD589858:UYE589858 VHZ589858:VIA589858 VRV589858:VRW589858 WBR589858:WBS589858 WLN589858:WLO589858 WVJ589858:WVK589858 IX655394:IY655394 ST655394:SU655394 ACP655394:ACQ655394 AML655394:AMM655394 AWH655394:AWI655394 BGD655394:BGE655394 BPZ655394:BQA655394 BZV655394:BZW655394 CJR655394:CJS655394 CTN655394:CTO655394 DDJ655394:DDK655394 DNF655394:DNG655394 DXB655394:DXC655394 EGX655394:EGY655394 EQT655394:EQU655394 FAP655394:FAQ655394 FKL655394:FKM655394 FUH655394:FUI655394 GED655394:GEE655394 GNZ655394:GOA655394 GXV655394:GXW655394 HHR655394:HHS655394 HRN655394:HRO655394 IBJ655394:IBK655394 ILF655394:ILG655394 IVB655394:IVC655394 JEX655394:JEY655394 JOT655394:JOU655394 JYP655394:JYQ655394 KIL655394:KIM655394 KSH655394:KSI655394 LCD655394:LCE655394 LLZ655394:LMA655394 LVV655394:LVW655394 MFR655394:MFS655394 MPN655394:MPO655394 MZJ655394:MZK655394 NJF655394:NJG655394 NTB655394:NTC655394 OCX655394:OCY655394 OMT655394:OMU655394 OWP655394:OWQ655394 PGL655394:PGM655394 PQH655394:PQI655394 QAD655394:QAE655394 QJZ655394:QKA655394 QTV655394:QTW655394 RDR655394:RDS655394 RNN655394:RNO655394 RXJ655394:RXK655394 SHF655394:SHG655394 SRB655394:SRC655394 TAX655394:TAY655394 TKT655394:TKU655394 TUP655394:TUQ655394 UEL655394:UEM655394 UOH655394:UOI655394 UYD655394:UYE655394 VHZ655394:VIA655394 VRV655394:VRW655394 WBR655394:WBS655394 WLN655394:WLO655394 WVJ655394:WVK655394 IX720930:IY720930 ST720930:SU720930 ACP720930:ACQ720930 AML720930:AMM720930 AWH720930:AWI720930 BGD720930:BGE720930 BPZ720930:BQA720930 BZV720930:BZW720930 CJR720930:CJS720930 CTN720930:CTO720930 DDJ720930:DDK720930 DNF720930:DNG720930 DXB720930:DXC720930 EGX720930:EGY720930 EQT720930:EQU720930 FAP720930:FAQ720930 FKL720930:FKM720930 FUH720930:FUI720930 GED720930:GEE720930 GNZ720930:GOA720930 GXV720930:GXW720930 HHR720930:HHS720930 HRN720930:HRO720930 IBJ720930:IBK720930 ILF720930:ILG720930 IVB720930:IVC720930 JEX720930:JEY720930 JOT720930:JOU720930 JYP720930:JYQ720930 KIL720930:KIM720930 KSH720930:KSI720930 LCD720930:LCE720930 LLZ720930:LMA720930 LVV720930:LVW720930 MFR720930:MFS720930 MPN720930:MPO720930 MZJ720930:MZK720930 NJF720930:NJG720930 NTB720930:NTC720930 OCX720930:OCY720930 OMT720930:OMU720930 OWP720930:OWQ720930 PGL720930:PGM720930 PQH720930:PQI720930 QAD720930:QAE720930 QJZ720930:QKA720930 QTV720930:QTW720930 RDR720930:RDS720930 RNN720930:RNO720930 RXJ720930:RXK720930 SHF720930:SHG720930 SRB720930:SRC720930 TAX720930:TAY720930 TKT720930:TKU720930 TUP720930:TUQ720930 UEL720930:UEM720930 UOH720930:UOI720930 UYD720930:UYE720930 VHZ720930:VIA720930 VRV720930:VRW720930 WBR720930:WBS720930 WLN720930:WLO720930 WVJ720930:WVK720930 IX786466:IY786466 ST786466:SU786466 ACP786466:ACQ786466 AML786466:AMM786466 AWH786466:AWI786466 BGD786466:BGE786466 BPZ786466:BQA786466 BZV786466:BZW786466 CJR786466:CJS786466 CTN786466:CTO786466 DDJ786466:DDK786466 DNF786466:DNG786466 DXB786466:DXC786466 EGX786466:EGY786466 EQT786466:EQU786466 FAP786466:FAQ786466 FKL786466:FKM786466 FUH786466:FUI786466 GED786466:GEE786466 GNZ786466:GOA786466 GXV786466:GXW786466 HHR786466:HHS786466 HRN786466:HRO786466 IBJ786466:IBK786466 ILF786466:ILG786466 IVB786466:IVC786466 JEX786466:JEY786466 JOT786466:JOU786466 JYP786466:JYQ786466 KIL786466:KIM786466 KSH786466:KSI786466 LCD786466:LCE786466 LLZ786466:LMA786466 LVV786466:LVW786466 MFR786466:MFS786466 MPN786466:MPO786466 MZJ786466:MZK786466 NJF786466:NJG786466 NTB786466:NTC786466 OCX786466:OCY786466 OMT786466:OMU786466 OWP786466:OWQ786466 PGL786466:PGM786466 PQH786466:PQI786466 QAD786466:QAE786466 QJZ786466:QKA786466 QTV786466:QTW786466 RDR786466:RDS786466 RNN786466:RNO786466 RXJ786466:RXK786466 SHF786466:SHG786466 SRB786466:SRC786466 TAX786466:TAY786466 TKT786466:TKU786466 TUP786466:TUQ786466 UEL786466:UEM786466 UOH786466:UOI786466 UYD786466:UYE786466 VHZ786466:VIA786466 VRV786466:VRW786466 WBR786466:WBS786466 WLN786466:WLO786466 WVJ786466:WVK786466 IX852002:IY852002 ST852002:SU852002 ACP852002:ACQ852002 AML852002:AMM852002 AWH852002:AWI852002 BGD852002:BGE852002 BPZ852002:BQA852002 BZV852002:BZW852002 CJR852002:CJS852002 CTN852002:CTO852002 DDJ852002:DDK852002 DNF852002:DNG852002 DXB852002:DXC852002 EGX852002:EGY852002 EQT852002:EQU852002 FAP852002:FAQ852002 FKL852002:FKM852002 FUH852002:FUI852002 GED852002:GEE852002 GNZ852002:GOA852002 GXV852002:GXW852002 HHR852002:HHS852002 HRN852002:HRO852002 IBJ852002:IBK852002 ILF852002:ILG852002 IVB852002:IVC852002 JEX852002:JEY852002 JOT852002:JOU852002 JYP852002:JYQ852002 KIL852002:KIM852002 KSH852002:KSI852002 LCD852002:LCE852002 LLZ852002:LMA852002 LVV852002:LVW852002 MFR852002:MFS852002 MPN852002:MPO852002 MZJ852002:MZK852002 NJF852002:NJG852002 NTB852002:NTC852002 OCX852002:OCY852002 OMT852002:OMU852002 OWP852002:OWQ852002 PGL852002:PGM852002 PQH852002:PQI852002 QAD852002:QAE852002 QJZ852002:QKA852002 QTV852002:QTW852002 RDR852002:RDS852002 RNN852002:RNO852002 RXJ852002:RXK852002 SHF852002:SHG852002 SRB852002:SRC852002 TAX852002:TAY852002 TKT852002:TKU852002 TUP852002:TUQ852002 UEL852002:UEM852002 UOH852002:UOI852002 UYD852002:UYE852002 VHZ852002:VIA852002 VRV852002:VRW852002 WBR852002:WBS852002 WLN852002:WLO852002 WVJ852002:WVK852002 IX917538:IY917538 ST917538:SU917538 ACP917538:ACQ917538 AML917538:AMM917538 AWH917538:AWI917538 BGD917538:BGE917538 BPZ917538:BQA917538 BZV917538:BZW917538 CJR917538:CJS917538 CTN917538:CTO917538 DDJ917538:DDK917538 DNF917538:DNG917538 DXB917538:DXC917538 EGX917538:EGY917538 EQT917538:EQU917538 FAP917538:FAQ917538 FKL917538:FKM917538 FUH917538:FUI917538 GED917538:GEE917538 GNZ917538:GOA917538 GXV917538:GXW917538 HHR917538:HHS917538 HRN917538:HRO917538 IBJ917538:IBK917538 ILF917538:ILG917538 IVB917538:IVC917538 JEX917538:JEY917538 JOT917538:JOU917538 JYP917538:JYQ917538 KIL917538:KIM917538 KSH917538:KSI917538 LCD917538:LCE917538 LLZ917538:LMA917538 LVV917538:LVW917538 MFR917538:MFS917538 MPN917538:MPO917538 MZJ917538:MZK917538 NJF917538:NJG917538 NTB917538:NTC917538 OCX917538:OCY917538 OMT917538:OMU917538 OWP917538:OWQ917538 PGL917538:PGM917538 PQH917538:PQI917538 QAD917538:QAE917538 QJZ917538:QKA917538 QTV917538:QTW917538 RDR917538:RDS917538 RNN917538:RNO917538 RXJ917538:RXK917538 SHF917538:SHG917538 SRB917538:SRC917538 TAX917538:TAY917538 TKT917538:TKU917538 TUP917538:TUQ917538 UEL917538:UEM917538 UOH917538:UOI917538 UYD917538:UYE917538 VHZ917538:VIA917538 VRV917538:VRW917538 WBR917538:WBS917538 WLN917538:WLO917538 WVJ917538:WVK917538 IX983074:IY983074 ST983074:SU983074 ACP983074:ACQ983074 AML983074:AMM983074 AWH983074:AWI983074 BGD983074:BGE983074 BPZ983074:BQA983074 BZV983074:BZW983074 CJR983074:CJS983074 CTN983074:CTO983074 DDJ983074:DDK983074 DNF983074:DNG983074 DXB983074:DXC983074 EGX983074:EGY983074 EQT983074:EQU983074 FAP983074:FAQ983074 FKL983074:FKM983074 FUH983074:FUI983074 GED983074:GEE983074 GNZ983074:GOA983074 GXV983074:GXW983074 HHR983074:HHS983074 HRN983074:HRO983074 IBJ983074:IBK983074 ILF983074:ILG983074 IVB983074:IVC983074 JEX983074:JEY983074 JOT983074:JOU983074 JYP983074:JYQ983074 KIL983074:KIM983074 KSH983074:KSI983074 LCD983074:LCE983074 LLZ983074:LMA983074 LVV983074:LVW983074 MFR983074:MFS983074 MPN983074:MPO983074 MZJ983074:MZK983074 NJF983074:NJG983074 NTB983074:NTC983074 OCX983074:OCY983074 OMT983074:OMU983074 OWP983074:OWQ983074 PGL983074:PGM983074 PQH983074:PQI983074 QAD983074:QAE983074 QJZ983074:QKA983074 QTV983074:QTW983074 RDR983074:RDS983074 RNN983074:RNO983074 RXJ983074:RXK983074 SHF983074:SHG983074 SRB983074:SRC983074 TAX983074:TAY983074 TKT983074:TKU983074 TUP983074:TUQ983074 UEL983074:UEM983074 UOH983074:UOI983074 UYD983074:UYE983074 VHZ983074:VIA983074 VRV983074:VRW983074 WBR983074:WBS983074 WLN983074:WLO983074" xr:uid="{00000000-0002-0000-0200-000000000000}">
      <formula1>YesNo</formula1>
    </dataValidation>
    <dataValidation type="list" allowBlank="1" showInputMessage="1" showErrorMessage="1" sqref="D86:D87 D94:D98 D18 D36 D82 D69 D77 D41:D42 D26 D30 D32 D22 D50 D177 D179 D154 D174" xr:uid="{00000000-0002-0000-0200-000002000000}">
      <formula1>AnoNe</formula1>
    </dataValidation>
    <dataValidation type="list" allowBlank="1" showInputMessage="1" showErrorMessage="1" sqref="D111:D113 D137:D139 D148 D150 D178 D119:D131 D157:D170" xr:uid="{00000000-0002-0000-0200-000003000000}">
      <formula1>Typrole</formula1>
    </dataValidation>
  </dataValidations>
  <printOptions horizontalCentered="1"/>
  <pageMargins left="0" right="0" top="0.55118110236220474" bottom="0.35433070866141736" header="0" footer="0.15748031496062992"/>
  <pageSetup paperSize="9" scale="60" fitToHeight="2" orientation="portrait" r:id="rId1"/>
  <headerFooter>
    <oddFooter>&amp;L&amp;"Calibri,Obyčejné"&amp;9ON premise řešení - vstupy&amp;C&amp;"Calibri,Obyčejné"&amp;9&amp;P/&amp;N</oddFooter>
  </headerFooter>
  <rowBreaks count="2" manualBreakCount="2">
    <brk id="83" max="7" man="1"/>
    <brk id="14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 codeName="Sheet4">
    <tabColor theme="8" tint="0.79998168889431442"/>
    <pageSetUpPr fitToPage="1"/>
  </sheetPr>
  <dimension ref="A1:P188"/>
  <sheetViews>
    <sheetView zoomScaleNormal="100" workbookViewId="0">
      <selection activeCell="G103" sqref="G103"/>
    </sheetView>
  </sheetViews>
  <sheetFormatPr defaultColWidth="7.625" defaultRowHeight="15" outlineLevelCol="1" x14ac:dyDescent="0.25"/>
  <cols>
    <col min="1" max="1" width="1.5" style="95" customWidth="1"/>
    <col min="2" max="2" width="45.375" style="95" customWidth="1"/>
    <col min="3" max="3" width="27" style="95" customWidth="1"/>
    <col min="4" max="4" width="13.875" style="95" customWidth="1"/>
    <col min="5" max="5" width="8.625" style="95" hidden="1" customWidth="1" outlineLevel="1"/>
    <col min="6" max="6" width="13" style="110" bestFit="1" customWidth="1" collapsed="1"/>
    <col min="7" max="7" width="53.625" style="103" customWidth="1"/>
    <col min="8" max="8" width="7.625" style="95"/>
    <col min="9" max="9" width="6.875" style="475" hidden="1" customWidth="1" outlineLevel="1"/>
    <col min="10" max="10" width="6.875" style="3" customWidth="1" collapsed="1"/>
    <col min="11" max="11" width="6.875" style="3" customWidth="1"/>
    <col min="12" max="13" width="7.625" style="3"/>
    <col min="14" max="14" width="9.375" style="3" bestFit="1" customWidth="1"/>
    <col min="15" max="251" width="7.625" style="3"/>
    <col min="252" max="252" width="44.125" style="3" customWidth="1"/>
    <col min="253" max="253" width="16.375" style="3" customWidth="1"/>
    <col min="254" max="254" width="10.625" style="3" customWidth="1"/>
    <col min="255" max="255" width="13.125" style="3" customWidth="1"/>
    <col min="256" max="256" width="11.5" style="3" bestFit="1" customWidth="1"/>
    <col min="257" max="257" width="30.625" style="3" customWidth="1"/>
    <col min="258" max="507" width="7.625" style="3"/>
    <col min="508" max="508" width="44.125" style="3" customWidth="1"/>
    <col min="509" max="509" width="16.375" style="3" customWidth="1"/>
    <col min="510" max="510" width="10.625" style="3" customWidth="1"/>
    <col min="511" max="511" width="13.125" style="3" customWidth="1"/>
    <col min="512" max="512" width="11.5" style="3" bestFit="1" customWidth="1"/>
    <col min="513" max="513" width="30.625" style="3" customWidth="1"/>
    <col min="514" max="763" width="7.625" style="3"/>
    <col min="764" max="764" width="44.125" style="3" customWidth="1"/>
    <col min="765" max="765" width="16.375" style="3" customWidth="1"/>
    <col min="766" max="766" width="10.625" style="3" customWidth="1"/>
    <col min="767" max="767" width="13.125" style="3" customWidth="1"/>
    <col min="768" max="768" width="11.5" style="3" bestFit="1" customWidth="1"/>
    <col min="769" max="769" width="30.625" style="3" customWidth="1"/>
    <col min="770" max="1019" width="7.625" style="3"/>
    <col min="1020" max="1020" width="44.125" style="3" customWidth="1"/>
    <col min="1021" max="1021" width="16.375" style="3" customWidth="1"/>
    <col min="1022" max="1022" width="10.625" style="3" customWidth="1"/>
    <col min="1023" max="1023" width="13.125" style="3" customWidth="1"/>
    <col min="1024" max="1024" width="11.5" style="3" bestFit="1" customWidth="1"/>
    <col min="1025" max="1025" width="30.625" style="3" customWidth="1"/>
    <col min="1026" max="1275" width="7.625" style="3"/>
    <col min="1276" max="1276" width="44.125" style="3" customWidth="1"/>
    <col min="1277" max="1277" width="16.375" style="3" customWidth="1"/>
    <col min="1278" max="1278" width="10.625" style="3" customWidth="1"/>
    <col min="1279" max="1279" width="13.125" style="3" customWidth="1"/>
    <col min="1280" max="1280" width="11.5" style="3" bestFit="1" customWidth="1"/>
    <col min="1281" max="1281" width="30.625" style="3" customWidth="1"/>
    <col min="1282" max="1531" width="7.625" style="3"/>
    <col min="1532" max="1532" width="44.125" style="3" customWidth="1"/>
    <col min="1533" max="1533" width="16.375" style="3" customWidth="1"/>
    <col min="1534" max="1534" width="10.625" style="3" customWidth="1"/>
    <col min="1535" max="1535" width="13.125" style="3" customWidth="1"/>
    <col min="1536" max="1536" width="11.5" style="3" bestFit="1" customWidth="1"/>
    <col min="1537" max="1537" width="30.625" style="3" customWidth="1"/>
    <col min="1538" max="1787" width="7.625" style="3"/>
    <col min="1788" max="1788" width="44.125" style="3" customWidth="1"/>
    <col min="1789" max="1789" width="16.375" style="3" customWidth="1"/>
    <col min="1790" max="1790" width="10.625" style="3" customWidth="1"/>
    <col min="1791" max="1791" width="13.125" style="3" customWidth="1"/>
    <col min="1792" max="1792" width="11.5" style="3" bestFit="1" customWidth="1"/>
    <col min="1793" max="1793" width="30.625" style="3" customWidth="1"/>
    <col min="1794" max="2043" width="7.625" style="3"/>
    <col min="2044" max="2044" width="44.125" style="3" customWidth="1"/>
    <col min="2045" max="2045" width="16.375" style="3" customWidth="1"/>
    <col min="2046" max="2046" width="10.625" style="3" customWidth="1"/>
    <col min="2047" max="2047" width="13.125" style="3" customWidth="1"/>
    <col min="2048" max="2048" width="11.5" style="3" bestFit="1" customWidth="1"/>
    <col min="2049" max="2049" width="30.625" style="3" customWidth="1"/>
    <col min="2050" max="2299" width="7.625" style="3"/>
    <col min="2300" max="2300" width="44.125" style="3" customWidth="1"/>
    <col min="2301" max="2301" width="16.375" style="3" customWidth="1"/>
    <col min="2302" max="2302" width="10.625" style="3" customWidth="1"/>
    <col min="2303" max="2303" width="13.125" style="3" customWidth="1"/>
    <col min="2304" max="2304" width="11.5" style="3" bestFit="1" customWidth="1"/>
    <col min="2305" max="2305" width="30.625" style="3" customWidth="1"/>
    <col min="2306" max="2555" width="7.625" style="3"/>
    <col min="2556" max="2556" width="44.125" style="3" customWidth="1"/>
    <col min="2557" max="2557" width="16.375" style="3" customWidth="1"/>
    <col min="2558" max="2558" width="10.625" style="3" customWidth="1"/>
    <col min="2559" max="2559" width="13.125" style="3" customWidth="1"/>
    <col min="2560" max="2560" width="11.5" style="3" bestFit="1" customWidth="1"/>
    <col min="2561" max="2561" width="30.625" style="3" customWidth="1"/>
    <col min="2562" max="2811" width="7.625" style="3"/>
    <col min="2812" max="2812" width="44.125" style="3" customWidth="1"/>
    <col min="2813" max="2813" width="16.375" style="3" customWidth="1"/>
    <col min="2814" max="2814" width="10.625" style="3" customWidth="1"/>
    <col min="2815" max="2815" width="13.125" style="3" customWidth="1"/>
    <col min="2816" max="2816" width="11.5" style="3" bestFit="1" customWidth="1"/>
    <col min="2817" max="2817" width="30.625" style="3" customWidth="1"/>
    <col min="2818" max="3067" width="7.625" style="3"/>
    <col min="3068" max="3068" width="44.125" style="3" customWidth="1"/>
    <col min="3069" max="3069" width="16.375" style="3" customWidth="1"/>
    <col min="3070" max="3070" width="10.625" style="3" customWidth="1"/>
    <col min="3071" max="3071" width="13.125" style="3" customWidth="1"/>
    <col min="3072" max="3072" width="11.5" style="3" bestFit="1" customWidth="1"/>
    <col min="3073" max="3073" width="30.625" style="3" customWidth="1"/>
    <col min="3074" max="3323" width="7.625" style="3"/>
    <col min="3324" max="3324" width="44.125" style="3" customWidth="1"/>
    <col min="3325" max="3325" width="16.375" style="3" customWidth="1"/>
    <col min="3326" max="3326" width="10.625" style="3" customWidth="1"/>
    <col min="3327" max="3327" width="13.125" style="3" customWidth="1"/>
    <col min="3328" max="3328" width="11.5" style="3" bestFit="1" customWidth="1"/>
    <col min="3329" max="3329" width="30.625" style="3" customWidth="1"/>
    <col min="3330" max="3579" width="7.625" style="3"/>
    <col min="3580" max="3580" width="44.125" style="3" customWidth="1"/>
    <col min="3581" max="3581" width="16.375" style="3" customWidth="1"/>
    <col min="3582" max="3582" width="10.625" style="3" customWidth="1"/>
    <col min="3583" max="3583" width="13.125" style="3" customWidth="1"/>
    <col min="3584" max="3584" width="11.5" style="3" bestFit="1" customWidth="1"/>
    <col min="3585" max="3585" width="30.625" style="3" customWidth="1"/>
    <col min="3586" max="3835" width="7.625" style="3"/>
    <col min="3836" max="3836" width="44.125" style="3" customWidth="1"/>
    <col min="3837" max="3837" width="16.375" style="3" customWidth="1"/>
    <col min="3838" max="3838" width="10.625" style="3" customWidth="1"/>
    <col min="3839" max="3839" width="13.125" style="3" customWidth="1"/>
    <col min="3840" max="3840" width="11.5" style="3" bestFit="1" customWidth="1"/>
    <col min="3841" max="3841" width="30.625" style="3" customWidth="1"/>
    <col min="3842" max="4091" width="7.625" style="3"/>
    <col min="4092" max="4092" width="44.125" style="3" customWidth="1"/>
    <col min="4093" max="4093" width="16.375" style="3" customWidth="1"/>
    <col min="4094" max="4094" width="10.625" style="3" customWidth="1"/>
    <col min="4095" max="4095" width="13.125" style="3" customWidth="1"/>
    <col min="4096" max="4096" width="11.5" style="3" bestFit="1" customWidth="1"/>
    <col min="4097" max="4097" width="30.625" style="3" customWidth="1"/>
    <col min="4098" max="4347" width="7.625" style="3"/>
    <col min="4348" max="4348" width="44.125" style="3" customWidth="1"/>
    <col min="4349" max="4349" width="16.375" style="3" customWidth="1"/>
    <col min="4350" max="4350" width="10.625" style="3" customWidth="1"/>
    <col min="4351" max="4351" width="13.125" style="3" customWidth="1"/>
    <col min="4352" max="4352" width="11.5" style="3" bestFit="1" customWidth="1"/>
    <col min="4353" max="4353" width="30.625" style="3" customWidth="1"/>
    <col min="4354" max="4603" width="7.625" style="3"/>
    <col min="4604" max="4604" width="44.125" style="3" customWidth="1"/>
    <col min="4605" max="4605" width="16.375" style="3" customWidth="1"/>
    <col min="4606" max="4606" width="10.625" style="3" customWidth="1"/>
    <col min="4607" max="4607" width="13.125" style="3" customWidth="1"/>
    <col min="4608" max="4608" width="11.5" style="3" bestFit="1" customWidth="1"/>
    <col min="4609" max="4609" width="30.625" style="3" customWidth="1"/>
    <col min="4610" max="4859" width="7.625" style="3"/>
    <col min="4860" max="4860" width="44.125" style="3" customWidth="1"/>
    <col min="4861" max="4861" width="16.375" style="3" customWidth="1"/>
    <col min="4862" max="4862" width="10.625" style="3" customWidth="1"/>
    <col min="4863" max="4863" width="13.125" style="3" customWidth="1"/>
    <col min="4864" max="4864" width="11.5" style="3" bestFit="1" customWidth="1"/>
    <col min="4865" max="4865" width="30.625" style="3" customWidth="1"/>
    <col min="4866" max="5115" width="7.625" style="3"/>
    <col min="5116" max="5116" width="44.125" style="3" customWidth="1"/>
    <col min="5117" max="5117" width="16.375" style="3" customWidth="1"/>
    <col min="5118" max="5118" width="10.625" style="3" customWidth="1"/>
    <col min="5119" max="5119" width="13.125" style="3" customWidth="1"/>
    <col min="5120" max="5120" width="11.5" style="3" bestFit="1" customWidth="1"/>
    <col min="5121" max="5121" width="30.625" style="3" customWidth="1"/>
    <col min="5122" max="5371" width="7.625" style="3"/>
    <col min="5372" max="5372" width="44.125" style="3" customWidth="1"/>
    <col min="5373" max="5373" width="16.375" style="3" customWidth="1"/>
    <col min="5374" max="5374" width="10.625" style="3" customWidth="1"/>
    <col min="5375" max="5375" width="13.125" style="3" customWidth="1"/>
    <col min="5376" max="5376" width="11.5" style="3" bestFit="1" customWidth="1"/>
    <col min="5377" max="5377" width="30.625" style="3" customWidth="1"/>
    <col min="5378" max="5627" width="7.625" style="3"/>
    <col min="5628" max="5628" width="44.125" style="3" customWidth="1"/>
    <col min="5629" max="5629" width="16.375" style="3" customWidth="1"/>
    <col min="5630" max="5630" width="10.625" style="3" customWidth="1"/>
    <col min="5631" max="5631" width="13.125" style="3" customWidth="1"/>
    <col min="5632" max="5632" width="11.5" style="3" bestFit="1" customWidth="1"/>
    <col min="5633" max="5633" width="30.625" style="3" customWidth="1"/>
    <col min="5634" max="5883" width="7.625" style="3"/>
    <col min="5884" max="5884" width="44.125" style="3" customWidth="1"/>
    <col min="5885" max="5885" width="16.375" style="3" customWidth="1"/>
    <col min="5886" max="5886" width="10.625" style="3" customWidth="1"/>
    <col min="5887" max="5887" width="13.125" style="3" customWidth="1"/>
    <col min="5888" max="5888" width="11.5" style="3" bestFit="1" customWidth="1"/>
    <col min="5889" max="5889" width="30.625" style="3" customWidth="1"/>
    <col min="5890" max="6139" width="7.625" style="3"/>
    <col min="6140" max="6140" width="44.125" style="3" customWidth="1"/>
    <col min="6141" max="6141" width="16.375" style="3" customWidth="1"/>
    <col min="6142" max="6142" width="10.625" style="3" customWidth="1"/>
    <col min="6143" max="6143" width="13.125" style="3" customWidth="1"/>
    <col min="6144" max="6144" width="11.5" style="3" bestFit="1" customWidth="1"/>
    <col min="6145" max="6145" width="30.625" style="3" customWidth="1"/>
    <col min="6146" max="6395" width="7.625" style="3"/>
    <col min="6396" max="6396" width="44.125" style="3" customWidth="1"/>
    <col min="6397" max="6397" width="16.375" style="3" customWidth="1"/>
    <col min="6398" max="6398" width="10.625" style="3" customWidth="1"/>
    <col min="6399" max="6399" width="13.125" style="3" customWidth="1"/>
    <col min="6400" max="6400" width="11.5" style="3" bestFit="1" customWidth="1"/>
    <col min="6401" max="6401" width="30.625" style="3" customWidth="1"/>
    <col min="6402" max="6651" width="7.625" style="3"/>
    <col min="6652" max="6652" width="44.125" style="3" customWidth="1"/>
    <col min="6653" max="6653" width="16.375" style="3" customWidth="1"/>
    <col min="6654" max="6654" width="10.625" style="3" customWidth="1"/>
    <col min="6655" max="6655" width="13.125" style="3" customWidth="1"/>
    <col min="6656" max="6656" width="11.5" style="3" bestFit="1" customWidth="1"/>
    <col min="6657" max="6657" width="30.625" style="3" customWidth="1"/>
    <col min="6658" max="6907" width="7.625" style="3"/>
    <col min="6908" max="6908" width="44.125" style="3" customWidth="1"/>
    <col min="6909" max="6909" width="16.375" style="3" customWidth="1"/>
    <col min="6910" max="6910" width="10.625" style="3" customWidth="1"/>
    <col min="6911" max="6911" width="13.125" style="3" customWidth="1"/>
    <col min="6912" max="6912" width="11.5" style="3" bestFit="1" customWidth="1"/>
    <col min="6913" max="6913" width="30.625" style="3" customWidth="1"/>
    <col min="6914" max="7163" width="7.625" style="3"/>
    <col min="7164" max="7164" width="44.125" style="3" customWidth="1"/>
    <col min="7165" max="7165" width="16.375" style="3" customWidth="1"/>
    <col min="7166" max="7166" width="10.625" style="3" customWidth="1"/>
    <col min="7167" max="7167" width="13.125" style="3" customWidth="1"/>
    <col min="7168" max="7168" width="11.5" style="3" bestFit="1" customWidth="1"/>
    <col min="7169" max="7169" width="30.625" style="3" customWidth="1"/>
    <col min="7170" max="7419" width="7.625" style="3"/>
    <col min="7420" max="7420" width="44.125" style="3" customWidth="1"/>
    <col min="7421" max="7421" width="16.375" style="3" customWidth="1"/>
    <col min="7422" max="7422" width="10.625" style="3" customWidth="1"/>
    <col min="7423" max="7423" width="13.125" style="3" customWidth="1"/>
    <col min="7424" max="7424" width="11.5" style="3" bestFit="1" customWidth="1"/>
    <col min="7425" max="7425" width="30.625" style="3" customWidth="1"/>
    <col min="7426" max="7675" width="7.625" style="3"/>
    <col min="7676" max="7676" width="44.125" style="3" customWidth="1"/>
    <col min="7677" max="7677" width="16.375" style="3" customWidth="1"/>
    <col min="7678" max="7678" width="10.625" style="3" customWidth="1"/>
    <col min="7679" max="7679" width="13.125" style="3" customWidth="1"/>
    <col min="7680" max="7680" width="11.5" style="3" bestFit="1" customWidth="1"/>
    <col min="7681" max="7681" width="30.625" style="3" customWidth="1"/>
    <col min="7682" max="7931" width="7.625" style="3"/>
    <col min="7932" max="7932" width="44.125" style="3" customWidth="1"/>
    <col min="7933" max="7933" width="16.375" style="3" customWidth="1"/>
    <col min="7934" max="7934" width="10.625" style="3" customWidth="1"/>
    <col min="7935" max="7935" width="13.125" style="3" customWidth="1"/>
    <col min="7936" max="7936" width="11.5" style="3" bestFit="1" customWidth="1"/>
    <col min="7937" max="7937" width="30.625" style="3" customWidth="1"/>
    <col min="7938" max="8187" width="7.625" style="3"/>
    <col min="8188" max="8188" width="44.125" style="3" customWidth="1"/>
    <col min="8189" max="8189" width="16.375" style="3" customWidth="1"/>
    <col min="8190" max="8190" width="10.625" style="3" customWidth="1"/>
    <col min="8191" max="8191" width="13.125" style="3" customWidth="1"/>
    <col min="8192" max="8192" width="11.5" style="3" bestFit="1" customWidth="1"/>
    <col min="8193" max="8193" width="30.625" style="3" customWidth="1"/>
    <col min="8194" max="8443" width="7.625" style="3"/>
    <col min="8444" max="8444" width="44.125" style="3" customWidth="1"/>
    <col min="8445" max="8445" width="16.375" style="3" customWidth="1"/>
    <col min="8446" max="8446" width="10.625" style="3" customWidth="1"/>
    <col min="8447" max="8447" width="13.125" style="3" customWidth="1"/>
    <col min="8448" max="8448" width="11.5" style="3" bestFit="1" customWidth="1"/>
    <col min="8449" max="8449" width="30.625" style="3" customWidth="1"/>
    <col min="8450" max="8699" width="7.625" style="3"/>
    <col min="8700" max="8700" width="44.125" style="3" customWidth="1"/>
    <col min="8701" max="8701" width="16.375" style="3" customWidth="1"/>
    <col min="8702" max="8702" width="10.625" style="3" customWidth="1"/>
    <col min="8703" max="8703" width="13.125" style="3" customWidth="1"/>
    <col min="8704" max="8704" width="11.5" style="3" bestFit="1" customWidth="1"/>
    <col min="8705" max="8705" width="30.625" style="3" customWidth="1"/>
    <col min="8706" max="8955" width="7.625" style="3"/>
    <col min="8956" max="8956" width="44.125" style="3" customWidth="1"/>
    <col min="8957" max="8957" width="16.375" style="3" customWidth="1"/>
    <col min="8958" max="8958" width="10.625" style="3" customWidth="1"/>
    <col min="8959" max="8959" width="13.125" style="3" customWidth="1"/>
    <col min="8960" max="8960" width="11.5" style="3" bestFit="1" customWidth="1"/>
    <col min="8961" max="8961" width="30.625" style="3" customWidth="1"/>
    <col min="8962" max="9211" width="7.625" style="3"/>
    <col min="9212" max="9212" width="44.125" style="3" customWidth="1"/>
    <col min="9213" max="9213" width="16.375" style="3" customWidth="1"/>
    <col min="9214" max="9214" width="10.625" style="3" customWidth="1"/>
    <col min="9215" max="9215" width="13.125" style="3" customWidth="1"/>
    <col min="9216" max="9216" width="11.5" style="3" bestFit="1" customWidth="1"/>
    <col min="9217" max="9217" width="30.625" style="3" customWidth="1"/>
    <col min="9218" max="9467" width="7.625" style="3"/>
    <col min="9468" max="9468" width="44.125" style="3" customWidth="1"/>
    <col min="9469" max="9469" width="16.375" style="3" customWidth="1"/>
    <col min="9470" max="9470" width="10.625" style="3" customWidth="1"/>
    <col min="9471" max="9471" width="13.125" style="3" customWidth="1"/>
    <col min="9472" max="9472" width="11.5" style="3" bestFit="1" customWidth="1"/>
    <col min="9473" max="9473" width="30.625" style="3" customWidth="1"/>
    <col min="9474" max="9723" width="7.625" style="3"/>
    <col min="9724" max="9724" width="44.125" style="3" customWidth="1"/>
    <col min="9725" max="9725" width="16.375" style="3" customWidth="1"/>
    <col min="9726" max="9726" width="10.625" style="3" customWidth="1"/>
    <col min="9727" max="9727" width="13.125" style="3" customWidth="1"/>
    <col min="9728" max="9728" width="11.5" style="3" bestFit="1" customWidth="1"/>
    <col min="9729" max="9729" width="30.625" style="3" customWidth="1"/>
    <col min="9730" max="9979" width="7.625" style="3"/>
    <col min="9980" max="9980" width="44.125" style="3" customWidth="1"/>
    <col min="9981" max="9981" width="16.375" style="3" customWidth="1"/>
    <col min="9982" max="9982" width="10.625" style="3" customWidth="1"/>
    <col min="9983" max="9983" width="13.125" style="3" customWidth="1"/>
    <col min="9984" max="9984" width="11.5" style="3" bestFit="1" customWidth="1"/>
    <col min="9985" max="9985" width="30.625" style="3" customWidth="1"/>
    <col min="9986" max="10235" width="7.625" style="3"/>
    <col min="10236" max="10236" width="44.125" style="3" customWidth="1"/>
    <col min="10237" max="10237" width="16.375" style="3" customWidth="1"/>
    <col min="10238" max="10238" width="10.625" style="3" customWidth="1"/>
    <col min="10239" max="10239" width="13.125" style="3" customWidth="1"/>
    <col min="10240" max="10240" width="11.5" style="3" bestFit="1" customWidth="1"/>
    <col min="10241" max="10241" width="30.625" style="3" customWidth="1"/>
    <col min="10242" max="10491" width="7.625" style="3"/>
    <col min="10492" max="10492" width="44.125" style="3" customWidth="1"/>
    <col min="10493" max="10493" width="16.375" style="3" customWidth="1"/>
    <col min="10494" max="10494" width="10.625" style="3" customWidth="1"/>
    <col min="10495" max="10495" width="13.125" style="3" customWidth="1"/>
    <col min="10496" max="10496" width="11.5" style="3" bestFit="1" customWidth="1"/>
    <col min="10497" max="10497" width="30.625" style="3" customWidth="1"/>
    <col min="10498" max="10747" width="7.625" style="3"/>
    <col min="10748" max="10748" width="44.125" style="3" customWidth="1"/>
    <col min="10749" max="10749" width="16.375" style="3" customWidth="1"/>
    <col min="10750" max="10750" width="10.625" style="3" customWidth="1"/>
    <col min="10751" max="10751" width="13.125" style="3" customWidth="1"/>
    <col min="10752" max="10752" width="11.5" style="3" bestFit="1" customWidth="1"/>
    <col min="10753" max="10753" width="30.625" style="3" customWidth="1"/>
    <col min="10754" max="11003" width="7.625" style="3"/>
    <col min="11004" max="11004" width="44.125" style="3" customWidth="1"/>
    <col min="11005" max="11005" width="16.375" style="3" customWidth="1"/>
    <col min="11006" max="11006" width="10.625" style="3" customWidth="1"/>
    <col min="11007" max="11007" width="13.125" style="3" customWidth="1"/>
    <col min="11008" max="11008" width="11.5" style="3" bestFit="1" customWidth="1"/>
    <col min="11009" max="11009" width="30.625" style="3" customWidth="1"/>
    <col min="11010" max="11259" width="7.625" style="3"/>
    <col min="11260" max="11260" width="44.125" style="3" customWidth="1"/>
    <col min="11261" max="11261" width="16.375" style="3" customWidth="1"/>
    <col min="11262" max="11262" width="10.625" style="3" customWidth="1"/>
    <col min="11263" max="11263" width="13.125" style="3" customWidth="1"/>
    <col min="11264" max="11264" width="11.5" style="3" bestFit="1" customWidth="1"/>
    <col min="11265" max="11265" width="30.625" style="3" customWidth="1"/>
    <col min="11266" max="11515" width="7.625" style="3"/>
    <col min="11516" max="11516" width="44.125" style="3" customWidth="1"/>
    <col min="11517" max="11517" width="16.375" style="3" customWidth="1"/>
    <col min="11518" max="11518" width="10.625" style="3" customWidth="1"/>
    <col min="11519" max="11519" width="13.125" style="3" customWidth="1"/>
    <col min="11520" max="11520" width="11.5" style="3" bestFit="1" customWidth="1"/>
    <col min="11521" max="11521" width="30.625" style="3" customWidth="1"/>
    <col min="11522" max="11771" width="7.625" style="3"/>
    <col min="11772" max="11772" width="44.125" style="3" customWidth="1"/>
    <col min="11773" max="11773" width="16.375" style="3" customWidth="1"/>
    <col min="11774" max="11774" width="10.625" style="3" customWidth="1"/>
    <col min="11775" max="11775" width="13.125" style="3" customWidth="1"/>
    <col min="11776" max="11776" width="11.5" style="3" bestFit="1" customWidth="1"/>
    <col min="11777" max="11777" width="30.625" style="3" customWidth="1"/>
    <col min="11778" max="12027" width="7.625" style="3"/>
    <col min="12028" max="12028" width="44.125" style="3" customWidth="1"/>
    <col min="12029" max="12029" width="16.375" style="3" customWidth="1"/>
    <col min="12030" max="12030" width="10.625" style="3" customWidth="1"/>
    <col min="12031" max="12031" width="13.125" style="3" customWidth="1"/>
    <col min="12032" max="12032" width="11.5" style="3" bestFit="1" customWidth="1"/>
    <col min="12033" max="12033" width="30.625" style="3" customWidth="1"/>
    <col min="12034" max="12283" width="7.625" style="3"/>
    <col min="12284" max="12284" width="44.125" style="3" customWidth="1"/>
    <col min="12285" max="12285" width="16.375" style="3" customWidth="1"/>
    <col min="12286" max="12286" width="10.625" style="3" customWidth="1"/>
    <col min="12287" max="12287" width="13.125" style="3" customWidth="1"/>
    <col min="12288" max="12288" width="11.5" style="3" bestFit="1" customWidth="1"/>
    <col min="12289" max="12289" width="30.625" style="3" customWidth="1"/>
    <col min="12290" max="12539" width="7.625" style="3"/>
    <col min="12540" max="12540" width="44.125" style="3" customWidth="1"/>
    <col min="12541" max="12541" width="16.375" style="3" customWidth="1"/>
    <col min="12542" max="12542" width="10.625" style="3" customWidth="1"/>
    <col min="12543" max="12543" width="13.125" style="3" customWidth="1"/>
    <col min="12544" max="12544" width="11.5" style="3" bestFit="1" customWidth="1"/>
    <col min="12545" max="12545" width="30.625" style="3" customWidth="1"/>
    <col min="12546" max="12795" width="7.625" style="3"/>
    <col min="12796" max="12796" width="44.125" style="3" customWidth="1"/>
    <col min="12797" max="12797" width="16.375" style="3" customWidth="1"/>
    <col min="12798" max="12798" width="10.625" style="3" customWidth="1"/>
    <col min="12799" max="12799" width="13.125" style="3" customWidth="1"/>
    <col min="12800" max="12800" width="11.5" style="3" bestFit="1" customWidth="1"/>
    <col min="12801" max="12801" width="30.625" style="3" customWidth="1"/>
    <col min="12802" max="13051" width="7.625" style="3"/>
    <col min="13052" max="13052" width="44.125" style="3" customWidth="1"/>
    <col min="13053" max="13053" width="16.375" style="3" customWidth="1"/>
    <col min="13054" max="13054" width="10.625" style="3" customWidth="1"/>
    <col min="13055" max="13055" width="13.125" style="3" customWidth="1"/>
    <col min="13056" max="13056" width="11.5" style="3" bestFit="1" customWidth="1"/>
    <col min="13057" max="13057" width="30.625" style="3" customWidth="1"/>
    <col min="13058" max="13307" width="7.625" style="3"/>
    <col min="13308" max="13308" width="44.125" style="3" customWidth="1"/>
    <col min="13309" max="13309" width="16.375" style="3" customWidth="1"/>
    <col min="13310" max="13310" width="10.625" style="3" customWidth="1"/>
    <col min="13311" max="13311" width="13.125" style="3" customWidth="1"/>
    <col min="13312" max="13312" width="11.5" style="3" bestFit="1" customWidth="1"/>
    <col min="13313" max="13313" width="30.625" style="3" customWidth="1"/>
    <col min="13314" max="13563" width="7.625" style="3"/>
    <col min="13564" max="13564" width="44.125" style="3" customWidth="1"/>
    <col min="13565" max="13565" width="16.375" style="3" customWidth="1"/>
    <col min="13566" max="13566" width="10.625" style="3" customWidth="1"/>
    <col min="13567" max="13567" width="13.125" style="3" customWidth="1"/>
    <col min="13568" max="13568" width="11.5" style="3" bestFit="1" customWidth="1"/>
    <col min="13569" max="13569" width="30.625" style="3" customWidth="1"/>
    <col min="13570" max="13819" width="7.625" style="3"/>
    <col min="13820" max="13820" width="44.125" style="3" customWidth="1"/>
    <col min="13821" max="13821" width="16.375" style="3" customWidth="1"/>
    <col min="13822" max="13822" width="10.625" style="3" customWidth="1"/>
    <col min="13823" max="13823" width="13.125" style="3" customWidth="1"/>
    <col min="13824" max="13824" width="11.5" style="3" bestFit="1" customWidth="1"/>
    <col min="13825" max="13825" width="30.625" style="3" customWidth="1"/>
    <col min="13826" max="14075" width="7.625" style="3"/>
    <col min="14076" max="14076" width="44.125" style="3" customWidth="1"/>
    <col min="14077" max="14077" width="16.375" style="3" customWidth="1"/>
    <col min="14078" max="14078" width="10.625" style="3" customWidth="1"/>
    <col min="14079" max="14079" width="13.125" style="3" customWidth="1"/>
    <col min="14080" max="14080" width="11.5" style="3" bestFit="1" customWidth="1"/>
    <col min="14081" max="14081" width="30.625" style="3" customWidth="1"/>
    <col min="14082" max="14331" width="7.625" style="3"/>
    <col min="14332" max="14332" width="44.125" style="3" customWidth="1"/>
    <col min="14333" max="14333" width="16.375" style="3" customWidth="1"/>
    <col min="14334" max="14334" width="10.625" style="3" customWidth="1"/>
    <col min="14335" max="14335" width="13.125" style="3" customWidth="1"/>
    <col min="14336" max="14336" width="11.5" style="3" bestFit="1" customWidth="1"/>
    <col min="14337" max="14337" width="30.625" style="3" customWidth="1"/>
    <col min="14338" max="14587" width="7.625" style="3"/>
    <col min="14588" max="14588" width="44.125" style="3" customWidth="1"/>
    <col min="14589" max="14589" width="16.375" style="3" customWidth="1"/>
    <col min="14590" max="14590" width="10.625" style="3" customWidth="1"/>
    <col min="14591" max="14591" width="13.125" style="3" customWidth="1"/>
    <col min="14592" max="14592" width="11.5" style="3" bestFit="1" customWidth="1"/>
    <col min="14593" max="14593" width="30.625" style="3" customWidth="1"/>
    <col min="14594" max="14843" width="7.625" style="3"/>
    <col min="14844" max="14844" width="44.125" style="3" customWidth="1"/>
    <col min="14845" max="14845" width="16.375" style="3" customWidth="1"/>
    <col min="14846" max="14846" width="10.625" style="3" customWidth="1"/>
    <col min="14847" max="14847" width="13.125" style="3" customWidth="1"/>
    <col min="14848" max="14848" width="11.5" style="3" bestFit="1" customWidth="1"/>
    <col min="14849" max="14849" width="30.625" style="3" customWidth="1"/>
    <col min="14850" max="15099" width="7.625" style="3"/>
    <col min="15100" max="15100" width="44.125" style="3" customWidth="1"/>
    <col min="15101" max="15101" width="16.375" style="3" customWidth="1"/>
    <col min="15102" max="15102" width="10.625" style="3" customWidth="1"/>
    <col min="15103" max="15103" width="13.125" style="3" customWidth="1"/>
    <col min="15104" max="15104" width="11.5" style="3" bestFit="1" customWidth="1"/>
    <col min="15105" max="15105" width="30.625" style="3" customWidth="1"/>
    <col min="15106" max="15355" width="7.625" style="3"/>
    <col min="15356" max="15356" width="44.125" style="3" customWidth="1"/>
    <col min="15357" max="15357" width="16.375" style="3" customWidth="1"/>
    <col min="15358" max="15358" width="10.625" style="3" customWidth="1"/>
    <col min="15359" max="15359" width="13.125" style="3" customWidth="1"/>
    <col min="15360" max="15360" width="11.5" style="3" bestFit="1" customWidth="1"/>
    <col min="15361" max="15361" width="30.625" style="3" customWidth="1"/>
    <col min="15362" max="15611" width="7.625" style="3"/>
    <col min="15612" max="15612" width="44.125" style="3" customWidth="1"/>
    <col min="15613" max="15613" width="16.375" style="3" customWidth="1"/>
    <col min="15614" max="15614" width="10.625" style="3" customWidth="1"/>
    <col min="15615" max="15615" width="13.125" style="3" customWidth="1"/>
    <col min="15616" max="15616" width="11.5" style="3" bestFit="1" customWidth="1"/>
    <col min="15617" max="15617" width="30.625" style="3" customWidth="1"/>
    <col min="15618" max="15867" width="7.625" style="3"/>
    <col min="15868" max="15868" width="44.125" style="3" customWidth="1"/>
    <col min="15869" max="15869" width="16.375" style="3" customWidth="1"/>
    <col min="15870" max="15870" width="10.625" style="3" customWidth="1"/>
    <col min="15871" max="15871" width="13.125" style="3" customWidth="1"/>
    <col min="15872" max="15872" width="11.5" style="3" bestFit="1" customWidth="1"/>
    <col min="15873" max="15873" width="30.625" style="3" customWidth="1"/>
    <col min="15874" max="16123" width="7.625" style="3"/>
    <col min="16124" max="16124" width="44.125" style="3" customWidth="1"/>
    <col min="16125" max="16125" width="16.375" style="3" customWidth="1"/>
    <col min="16126" max="16126" width="10.625" style="3" customWidth="1"/>
    <col min="16127" max="16127" width="13.125" style="3" customWidth="1"/>
    <col min="16128" max="16128" width="11.5" style="3" bestFit="1" customWidth="1"/>
    <col min="16129" max="16129" width="30.625" style="3" customWidth="1"/>
    <col min="16130" max="16384" width="7.625" style="3"/>
  </cols>
  <sheetData>
    <row r="1" spans="2:16" ht="18.75" x14ac:dyDescent="0.25">
      <c r="B1" s="96" t="s">
        <v>372</v>
      </c>
      <c r="C1" s="96"/>
      <c r="D1" s="96"/>
      <c r="E1" s="96"/>
      <c r="F1" s="97"/>
    </row>
    <row r="2" spans="2:16" ht="19.5" thickBot="1" x14ac:dyDescent="0.3">
      <c r="B2" s="96"/>
      <c r="C2" s="96"/>
      <c r="D2" s="96"/>
      <c r="E2" s="96"/>
      <c r="F2" s="97"/>
    </row>
    <row r="3" spans="2:16" ht="15.75" thickBot="1" x14ac:dyDescent="0.3">
      <c r="B3" s="4" t="s">
        <v>185</v>
      </c>
      <c r="C3" s="5"/>
      <c r="D3" s="5"/>
      <c r="E3" s="5"/>
      <c r="F3" s="6"/>
      <c r="G3" s="301"/>
      <c r="I3" s="476"/>
    </row>
    <row r="4" spans="2:16" x14ac:dyDescent="0.25">
      <c r="B4" s="98" t="s">
        <v>186</v>
      </c>
      <c r="C4" s="98" t="s">
        <v>107</v>
      </c>
      <c r="D4" s="98"/>
      <c r="E4" s="98"/>
      <c r="F4" s="166" t="s">
        <v>137</v>
      </c>
      <c r="G4" s="302" t="s">
        <v>126</v>
      </c>
      <c r="I4" s="476" t="s">
        <v>192</v>
      </c>
    </row>
    <row r="5" spans="2:16" x14ac:dyDescent="0.25">
      <c r="B5" s="133" t="s">
        <v>200</v>
      </c>
      <c r="C5" s="64" t="s">
        <v>230</v>
      </c>
      <c r="D5" s="64"/>
      <c r="E5" s="64"/>
      <c r="F5" s="285">
        <v>0</v>
      </c>
      <c r="G5" s="160"/>
      <c r="I5" s="476" t="s">
        <v>192</v>
      </c>
    </row>
    <row r="6" spans="2:16" x14ac:dyDescent="0.25">
      <c r="B6" s="258" t="s">
        <v>201</v>
      </c>
      <c r="C6" s="259" t="s">
        <v>231</v>
      </c>
      <c r="D6" s="259"/>
      <c r="E6" s="259"/>
      <c r="F6" s="479">
        <v>0</v>
      </c>
      <c r="G6" s="303"/>
      <c r="I6" s="476" t="s">
        <v>192</v>
      </c>
    </row>
    <row r="7" spans="2:16" ht="15.75" thickBot="1" x14ac:dyDescent="0.3">
      <c r="B7" s="99" t="s">
        <v>199</v>
      </c>
      <c r="C7" s="72" t="s">
        <v>232</v>
      </c>
      <c r="D7" s="72"/>
      <c r="E7" s="72"/>
      <c r="F7" s="480">
        <v>0</v>
      </c>
      <c r="G7" s="517"/>
      <c r="I7" s="476" t="s">
        <v>192</v>
      </c>
    </row>
    <row r="8" spans="2:16" ht="16.5" thickTop="1" thickBot="1" x14ac:dyDescent="0.3">
      <c r="B8" s="8" t="s">
        <v>8</v>
      </c>
      <c r="C8" s="104"/>
      <c r="D8" s="9"/>
      <c r="E8" s="9"/>
      <c r="F8" s="481">
        <f>SUM(F5:F7)</f>
        <v>0</v>
      </c>
      <c r="G8" s="9"/>
      <c r="I8" s="476"/>
    </row>
    <row r="9" spans="2:16" ht="16.5" thickTop="1" x14ac:dyDescent="0.25">
      <c r="B9" s="100"/>
      <c r="C9" s="93"/>
      <c r="D9" s="93"/>
      <c r="E9" s="93"/>
      <c r="F9" s="101"/>
      <c r="G9" s="304"/>
    </row>
    <row r="10" spans="2:16" ht="15.75" x14ac:dyDescent="0.25">
      <c r="B10" s="100" t="s">
        <v>251</v>
      </c>
      <c r="C10" s="64"/>
      <c r="D10" s="64"/>
      <c r="E10" s="64"/>
      <c r="F10" s="102"/>
      <c r="G10" s="305"/>
    </row>
    <row r="11" spans="2:16" ht="19.5" thickBot="1" x14ac:dyDescent="0.3">
      <c r="B11" s="96"/>
      <c r="C11" s="96"/>
      <c r="D11" s="96"/>
      <c r="E11" s="96"/>
      <c r="F11" s="97"/>
    </row>
    <row r="12" spans="2:16" ht="15.75" thickBot="1" x14ac:dyDescent="0.3">
      <c r="B12" s="4" t="s">
        <v>223</v>
      </c>
      <c r="C12" s="5"/>
      <c r="D12" s="5"/>
      <c r="E12" s="5"/>
      <c r="F12" s="6"/>
      <c r="G12" s="301"/>
    </row>
    <row r="13" spans="2:16" x14ac:dyDescent="0.25">
      <c r="B13" s="98"/>
      <c r="C13" s="16" t="s">
        <v>107</v>
      </c>
      <c r="D13" s="40" t="s">
        <v>366</v>
      </c>
      <c r="E13" s="16" t="s">
        <v>275</v>
      </c>
      <c r="F13" s="166" t="s">
        <v>137</v>
      </c>
      <c r="G13" s="306" t="s">
        <v>126</v>
      </c>
      <c r="P13" s="139"/>
    </row>
    <row r="14" spans="2:16" x14ac:dyDescent="0.25">
      <c r="B14" s="82" t="s">
        <v>99</v>
      </c>
      <c r="C14" s="92" t="s">
        <v>225</v>
      </c>
      <c r="D14" s="76">
        <v>2</v>
      </c>
      <c r="E14" s="77">
        <f>IF(D14=1,HodinovaSazbaIT,IF(D14=2,HodinSazbaIT2,IF(D14=3,HodinSazbaIT3)))</f>
        <v>434.62962962962962</v>
      </c>
      <c r="F14" s="83">
        <v>0</v>
      </c>
      <c r="G14" s="10"/>
      <c r="H14" s="195"/>
      <c r="I14" s="475" t="s">
        <v>72</v>
      </c>
      <c r="P14" s="146"/>
    </row>
    <row r="15" spans="2:16" x14ac:dyDescent="0.25">
      <c r="B15" s="82" t="s">
        <v>100</v>
      </c>
      <c r="C15" s="92" t="s">
        <v>225</v>
      </c>
      <c r="D15" s="76">
        <v>2</v>
      </c>
      <c r="E15" s="77">
        <f>IF(D15=1,HodinovaSazbaIT,IF(D15=2,HodinSazbaIT2,IF(D15=3,HodinSazbaIT3)))</f>
        <v>434.62962962962962</v>
      </c>
      <c r="F15" s="83">
        <v>0</v>
      </c>
      <c r="G15" s="10"/>
      <c r="H15" s="195"/>
      <c r="I15" s="475" t="s">
        <v>72</v>
      </c>
    </row>
    <row r="16" spans="2:16" x14ac:dyDescent="0.25">
      <c r="B16" s="82" t="s">
        <v>101</v>
      </c>
      <c r="C16" s="92" t="s">
        <v>225</v>
      </c>
      <c r="D16" s="76">
        <v>2</v>
      </c>
      <c r="E16" s="77">
        <f>IF(D16=1,HodinovaSazbaIT,IF(D16=2,HodinSazbaIT2,IF(D16=3,HodinSazbaIT3)))</f>
        <v>434.62962962962962</v>
      </c>
      <c r="F16" s="83">
        <v>0</v>
      </c>
      <c r="G16" s="10"/>
      <c r="H16" s="195"/>
      <c r="I16" s="475" t="s">
        <v>72</v>
      </c>
    </row>
    <row r="17" spans="2:16" x14ac:dyDescent="0.25">
      <c r="B17" s="82" t="s">
        <v>252</v>
      </c>
      <c r="C17" s="92" t="s">
        <v>253</v>
      </c>
      <c r="D17" s="140"/>
      <c r="E17" s="77"/>
      <c r="F17" s="456">
        <v>0</v>
      </c>
      <c r="G17" s="10" t="s">
        <v>254</v>
      </c>
      <c r="H17" s="195"/>
      <c r="I17" s="475" t="s">
        <v>72</v>
      </c>
      <c r="N17" s="146"/>
    </row>
    <row r="18" spans="2:16" ht="15.75" thickBot="1" x14ac:dyDescent="0.3">
      <c r="B18" s="455" t="s">
        <v>109</v>
      </c>
      <c r="C18" s="439" t="s">
        <v>225</v>
      </c>
      <c r="D18" s="446"/>
      <c r="E18" s="446"/>
      <c r="F18" s="445">
        <f t="shared" ref="F18" si="0">$E14*F14+$E15*F15+$E16*F16+F17</f>
        <v>0</v>
      </c>
      <c r="G18" s="446" t="s">
        <v>297</v>
      </c>
      <c r="P18" s="139"/>
    </row>
    <row r="19" spans="2:16" ht="16.5" thickTop="1" thickBot="1" x14ac:dyDescent="0.3">
      <c r="B19" s="105"/>
      <c r="C19" s="105"/>
      <c r="D19" s="105"/>
      <c r="E19" s="105"/>
      <c r="F19" s="106"/>
      <c r="G19" s="107"/>
    </row>
    <row r="20" spans="2:16" ht="15.75" thickBot="1" x14ac:dyDescent="0.3">
      <c r="B20" s="11" t="s">
        <v>98</v>
      </c>
      <c r="C20" s="5"/>
      <c r="D20" s="5"/>
      <c r="E20" s="5"/>
      <c r="F20" s="14"/>
      <c r="G20" s="301"/>
    </row>
    <row r="21" spans="2:16" x14ac:dyDescent="0.25">
      <c r="B21" s="98"/>
      <c r="C21" s="16" t="s">
        <v>107</v>
      </c>
      <c r="D21" s="40" t="s">
        <v>366</v>
      </c>
      <c r="E21" s="16" t="s">
        <v>275</v>
      </c>
      <c r="F21" s="166" t="s">
        <v>137</v>
      </c>
      <c r="G21" s="306" t="s">
        <v>126</v>
      </c>
    </row>
    <row r="22" spans="2:16" x14ac:dyDescent="0.25">
      <c r="B22" s="82" t="s">
        <v>104</v>
      </c>
      <c r="C22" s="92" t="s">
        <v>225</v>
      </c>
      <c r="D22" s="76">
        <v>3</v>
      </c>
      <c r="E22" s="77">
        <f t="shared" ref="E22:E28" si="1">IF(D22=1,HodinovaSazbaIT,IF(D22=2,HodinSazbaIT2,IF(D22=3,HodinSazbaIT3)))</f>
        <v>409.60648148148147</v>
      </c>
      <c r="F22" s="83">
        <v>0</v>
      </c>
      <c r="G22" s="10"/>
      <c r="I22" s="475" t="s">
        <v>86</v>
      </c>
    </row>
    <row r="23" spans="2:16" x14ac:dyDescent="0.25">
      <c r="B23" s="82" t="s">
        <v>270</v>
      </c>
      <c r="C23" s="92" t="s">
        <v>225</v>
      </c>
      <c r="D23" s="76">
        <v>2</v>
      </c>
      <c r="E23" s="77">
        <f t="shared" si="1"/>
        <v>434.62962962962962</v>
      </c>
      <c r="F23" s="83">
        <v>0</v>
      </c>
      <c r="G23" s="10"/>
      <c r="I23" s="475" t="s">
        <v>86</v>
      </c>
    </row>
    <row r="24" spans="2:16" ht="18" customHeight="1" x14ac:dyDescent="0.25">
      <c r="B24" s="82" t="s">
        <v>103</v>
      </c>
      <c r="C24" s="92" t="s">
        <v>225</v>
      </c>
      <c r="D24" s="76">
        <v>2</v>
      </c>
      <c r="E24" s="77">
        <f t="shared" si="1"/>
        <v>434.62962962962962</v>
      </c>
      <c r="F24" s="83">
        <v>0</v>
      </c>
      <c r="G24" s="10"/>
      <c r="I24" s="475" t="s">
        <v>86</v>
      </c>
    </row>
    <row r="25" spans="2:16" x14ac:dyDescent="0.25">
      <c r="B25" s="82" t="s">
        <v>102</v>
      </c>
      <c r="C25" s="92" t="s">
        <v>225</v>
      </c>
      <c r="D25" s="76">
        <v>2</v>
      </c>
      <c r="E25" s="77">
        <f t="shared" si="1"/>
        <v>434.62962962962962</v>
      </c>
      <c r="F25" s="83">
        <v>0</v>
      </c>
      <c r="G25" s="10"/>
      <c r="I25" s="475" t="s">
        <v>86</v>
      </c>
    </row>
    <row r="26" spans="2:16" x14ac:dyDescent="0.25">
      <c r="B26" s="82" t="s">
        <v>229</v>
      </c>
      <c r="C26" s="92" t="s">
        <v>225</v>
      </c>
      <c r="D26" s="76">
        <v>2</v>
      </c>
      <c r="E26" s="77">
        <f t="shared" si="1"/>
        <v>434.62962962962962</v>
      </c>
      <c r="F26" s="83">
        <v>0</v>
      </c>
      <c r="G26" s="105"/>
      <c r="I26" s="475" t="s">
        <v>86</v>
      </c>
    </row>
    <row r="27" spans="2:16" x14ac:dyDescent="0.25">
      <c r="B27" s="82" t="s">
        <v>105</v>
      </c>
      <c r="C27" s="92" t="s">
        <v>225</v>
      </c>
      <c r="D27" s="76">
        <v>2</v>
      </c>
      <c r="E27" s="77">
        <f t="shared" si="1"/>
        <v>434.62962962962962</v>
      </c>
      <c r="F27" s="83">
        <v>0</v>
      </c>
      <c r="G27" s="10"/>
      <c r="I27" s="475" t="s">
        <v>72</v>
      </c>
    </row>
    <row r="28" spans="2:16" x14ac:dyDescent="0.25">
      <c r="B28" s="82" t="s">
        <v>280</v>
      </c>
      <c r="C28" s="92" t="s">
        <v>225</v>
      </c>
      <c r="D28" s="76">
        <v>3</v>
      </c>
      <c r="E28" s="77">
        <f t="shared" si="1"/>
        <v>409.60648148148147</v>
      </c>
      <c r="F28" s="83">
        <v>0</v>
      </c>
      <c r="G28" s="10"/>
      <c r="I28" s="476" t="s">
        <v>195</v>
      </c>
    </row>
    <row r="29" spans="2:16" x14ac:dyDescent="0.25">
      <c r="B29" s="82" t="s">
        <v>256</v>
      </c>
      <c r="C29" s="92" t="s">
        <v>253</v>
      </c>
      <c r="D29" s="140"/>
      <c r="E29" s="77"/>
      <c r="F29" s="456">
        <v>0</v>
      </c>
      <c r="G29" s="10" t="s">
        <v>257</v>
      </c>
      <c r="I29" s="475" t="s">
        <v>72</v>
      </c>
      <c r="N29" s="146"/>
    </row>
    <row r="30" spans="2:16" ht="15.75" thickBot="1" x14ac:dyDescent="0.3">
      <c r="B30" s="457" t="s">
        <v>110</v>
      </c>
      <c r="C30" s="458"/>
      <c r="D30" s="458"/>
      <c r="E30" s="458"/>
      <c r="F30" s="459">
        <f>(SUMIF(D22:D28,1,F22:F28)*HodinovaSazbaIT)+(SUMIF(D22:D28,2,F22:F28)*'1.Úvodní parametry'!E20)+(SUMIF(D22:D28,3,F22:F28)*'1.Úvodní parametry'!E21)+F29</f>
        <v>0</v>
      </c>
      <c r="G30" s="458" t="s">
        <v>297</v>
      </c>
    </row>
    <row r="31" spans="2:16" ht="16.5" thickTop="1" thickBot="1" x14ac:dyDescent="0.3">
      <c r="B31" s="12"/>
      <c r="C31" s="13"/>
      <c r="D31" s="13"/>
      <c r="E31" s="13"/>
      <c r="F31" s="15"/>
      <c r="G31" s="13"/>
    </row>
    <row r="32" spans="2:16" ht="15.75" thickBot="1" x14ac:dyDescent="0.3">
      <c r="B32" s="4" t="s">
        <v>258</v>
      </c>
      <c r="C32" s="5"/>
      <c r="D32" s="5"/>
      <c r="E32" s="5"/>
      <c r="F32" s="14"/>
      <c r="G32" s="301"/>
    </row>
    <row r="33" spans="1:14" x14ac:dyDescent="0.25">
      <c r="B33" s="98"/>
      <c r="C33" s="16" t="s">
        <v>107</v>
      </c>
      <c r="D33" s="40" t="s">
        <v>366</v>
      </c>
      <c r="E33" s="16" t="s">
        <v>275</v>
      </c>
      <c r="F33" s="166" t="s">
        <v>137</v>
      </c>
      <c r="G33" s="306" t="s">
        <v>126</v>
      </c>
    </row>
    <row r="34" spans="1:14" x14ac:dyDescent="0.25">
      <c r="B34" s="82" t="s">
        <v>259</v>
      </c>
      <c r="C34" s="92" t="s">
        <v>225</v>
      </c>
      <c r="D34" s="76">
        <v>2</v>
      </c>
      <c r="E34" s="77">
        <f>IF(D34=1,HodinovaSazbaIT,IF(D34=2,HodinSazbaIT2,IF(D34=3,HodinSazbaIT3)))</f>
        <v>434.62962962962962</v>
      </c>
      <c r="F34" s="83">
        <v>0</v>
      </c>
      <c r="G34" s="10"/>
    </row>
    <row r="35" spans="1:14" x14ac:dyDescent="0.25">
      <c r="B35" s="82" t="s">
        <v>260</v>
      </c>
      <c r="C35" s="92" t="s">
        <v>225</v>
      </c>
      <c r="D35" s="76">
        <v>2</v>
      </c>
      <c r="E35" s="77">
        <f>IF(D35=1,HodinovaSazbaIT,IF(D35=2,HodinSazbaIT2,IF(D35=3,HodinSazbaIT3)))</f>
        <v>434.62962962962962</v>
      </c>
      <c r="F35" s="83">
        <v>0</v>
      </c>
      <c r="G35" s="10"/>
    </row>
    <row r="36" spans="1:14" x14ac:dyDescent="0.25">
      <c r="B36" s="20" t="s">
        <v>209</v>
      </c>
      <c r="C36" s="92" t="s">
        <v>225</v>
      </c>
      <c r="D36" s="76">
        <v>2</v>
      </c>
      <c r="E36" s="77">
        <f>IF(D36=1,HodinovaSazbaIT,IF(D36=2,HodinSazbaIT2,IF(D36=3,HodinSazbaIT3)))</f>
        <v>434.62962962962962</v>
      </c>
      <c r="F36" s="83">
        <v>0</v>
      </c>
      <c r="G36" s="10" t="s">
        <v>422</v>
      </c>
    </row>
    <row r="37" spans="1:14" x14ac:dyDescent="0.25">
      <c r="B37" s="20" t="s">
        <v>263</v>
      </c>
      <c r="C37" s="92" t="s">
        <v>253</v>
      </c>
      <c r="D37" s="143"/>
      <c r="E37" s="142"/>
      <c r="F37" s="267">
        <v>0</v>
      </c>
      <c r="G37" s="10" t="s">
        <v>264</v>
      </c>
      <c r="N37" s="147"/>
    </row>
    <row r="38" spans="1:14" x14ac:dyDescent="0.25">
      <c r="B38" s="283" t="s">
        <v>111</v>
      </c>
      <c r="C38" s="284"/>
      <c r="D38" s="284"/>
      <c r="E38" s="284"/>
      <c r="F38" s="300">
        <f>E34*F34+E35*F35+E36*F36</f>
        <v>0</v>
      </c>
      <c r="G38" s="284" t="s">
        <v>287</v>
      </c>
      <c r="N38" s="139"/>
    </row>
    <row r="39" spans="1:14" ht="15.75" thickBot="1" x14ac:dyDescent="0.3">
      <c r="B39" s="457" t="s">
        <v>285</v>
      </c>
      <c r="C39" s="458"/>
      <c r="D39" s="458"/>
      <c r="E39" s="458"/>
      <c r="F39" s="459">
        <f>F38+F37</f>
        <v>0</v>
      </c>
      <c r="G39" s="458" t="s">
        <v>286</v>
      </c>
      <c r="I39" s="475" t="s">
        <v>195</v>
      </c>
    </row>
    <row r="40" spans="1:14" s="19" customFormat="1" ht="16.5" thickTop="1" thickBot="1" x14ac:dyDescent="0.3">
      <c r="A40" s="137"/>
      <c r="B40" s="12"/>
      <c r="C40" s="13"/>
      <c r="D40" s="13"/>
      <c r="E40" s="13"/>
      <c r="F40" s="15"/>
      <c r="G40" s="13"/>
      <c r="H40" s="137"/>
      <c r="I40" s="476"/>
    </row>
    <row r="41" spans="1:14" ht="15.75" thickBot="1" x14ac:dyDescent="0.3">
      <c r="B41" s="4" t="s">
        <v>167</v>
      </c>
      <c r="C41" s="5"/>
      <c r="D41" s="5"/>
      <c r="E41" s="5"/>
      <c r="F41" s="6"/>
      <c r="G41" s="301"/>
      <c r="N41" s="146"/>
    </row>
    <row r="42" spans="1:14" ht="24" customHeight="1" x14ac:dyDescent="0.25">
      <c r="B42" s="98" t="s">
        <v>322</v>
      </c>
      <c r="C42" s="98" t="s">
        <v>107</v>
      </c>
      <c r="D42" s="135" t="s">
        <v>329</v>
      </c>
      <c r="E42" s="98"/>
      <c r="F42" s="166" t="s">
        <v>137</v>
      </c>
      <c r="G42" s="302" t="s">
        <v>126</v>
      </c>
    </row>
    <row r="43" spans="1:14" x14ac:dyDescent="0.25">
      <c r="B43" s="131" t="s">
        <v>363</v>
      </c>
      <c r="C43" s="132" t="s">
        <v>112</v>
      </c>
      <c r="D43" s="158" t="s">
        <v>327</v>
      </c>
      <c r="E43" s="132"/>
      <c r="F43" s="456">
        <v>0</v>
      </c>
      <c r="G43" s="10" t="s">
        <v>423</v>
      </c>
      <c r="I43" s="475" t="s">
        <v>38</v>
      </c>
    </row>
    <row r="44" spans="1:14" ht="15.75" thickBot="1" x14ac:dyDescent="0.3">
      <c r="B44" s="290" t="s">
        <v>364</v>
      </c>
      <c r="C44" s="291" t="s">
        <v>253</v>
      </c>
      <c r="D44" s="291"/>
      <c r="E44" s="291"/>
      <c r="F44" s="292">
        <v>0</v>
      </c>
      <c r="G44" s="293" t="s">
        <v>324</v>
      </c>
      <c r="I44" s="475" t="s">
        <v>118</v>
      </c>
    </row>
    <row r="45" spans="1:14" ht="16.5" thickTop="1" thickBot="1" x14ac:dyDescent="0.3">
      <c r="B45" s="12"/>
      <c r="C45" s="13"/>
      <c r="D45" s="13"/>
      <c r="E45" s="13"/>
      <c r="F45" s="13"/>
      <c r="G45" s="13"/>
    </row>
    <row r="46" spans="1:14" ht="15.75" thickBot="1" x14ac:dyDescent="0.3">
      <c r="B46" s="22" t="s">
        <v>211</v>
      </c>
      <c r="C46" s="23"/>
      <c r="D46" s="23"/>
      <c r="E46" s="23"/>
      <c r="F46" s="24"/>
      <c r="G46" s="231"/>
    </row>
    <row r="47" spans="1:14" ht="15.75" thickBot="1" x14ac:dyDescent="0.3">
      <c r="A47" s="141"/>
      <c r="B47" s="286" t="s">
        <v>365</v>
      </c>
      <c r="C47" s="287" t="s">
        <v>253</v>
      </c>
      <c r="D47" s="287"/>
      <c r="E47" s="287"/>
      <c r="F47" s="289">
        <v>0</v>
      </c>
      <c r="G47" s="288" t="s">
        <v>415</v>
      </c>
      <c r="I47" s="477" t="s">
        <v>96</v>
      </c>
    </row>
    <row r="48" spans="1:14" ht="15.75" thickTop="1" x14ac:dyDescent="0.25">
      <c r="B48" s="63"/>
      <c r="C48" s="64"/>
      <c r="D48" s="64"/>
      <c r="E48" s="64"/>
      <c r="F48" s="64"/>
      <c r="G48" s="272"/>
    </row>
    <row r="49" spans="2:9" ht="23.25" customHeight="1" x14ac:dyDescent="0.25">
      <c r="B49" s="403" t="s">
        <v>32</v>
      </c>
      <c r="C49" s="403" t="s">
        <v>107</v>
      </c>
      <c r="D49" s="405" t="s">
        <v>329</v>
      </c>
      <c r="E49" s="405"/>
      <c r="F49" s="460" t="s">
        <v>137</v>
      </c>
      <c r="G49" s="461" t="s">
        <v>126</v>
      </c>
    </row>
    <row r="50" spans="2:9" x14ac:dyDescent="0.25">
      <c r="B50" s="133" t="s">
        <v>32</v>
      </c>
      <c r="C50" s="64" t="s">
        <v>112</v>
      </c>
      <c r="D50" s="279" t="s">
        <v>327</v>
      </c>
      <c r="E50" s="437"/>
      <c r="F50" s="271">
        <v>0</v>
      </c>
      <c r="G50" s="160"/>
      <c r="I50" s="476" t="s">
        <v>25</v>
      </c>
    </row>
    <row r="51" spans="2:9" ht="15.75" thickBot="1" x14ac:dyDescent="0.3">
      <c r="B51" s="294" t="s">
        <v>37</v>
      </c>
      <c r="C51" s="295" t="s">
        <v>112</v>
      </c>
      <c r="D51" s="296" t="s">
        <v>327</v>
      </c>
      <c r="E51" s="297"/>
      <c r="F51" s="298">
        <v>0</v>
      </c>
      <c r="G51" s="299"/>
      <c r="I51" s="476" t="s">
        <v>33</v>
      </c>
    </row>
    <row r="52" spans="2:9" ht="15.75" thickTop="1" x14ac:dyDescent="0.25">
      <c r="B52" s="63"/>
      <c r="C52" s="64"/>
      <c r="D52" s="64"/>
      <c r="E52" s="64"/>
      <c r="F52" s="64"/>
      <c r="G52" s="272"/>
    </row>
    <row r="53" spans="2:9" x14ac:dyDescent="0.25">
      <c r="B53" s="63"/>
      <c r="C53" s="64"/>
      <c r="D53" s="64"/>
      <c r="E53" s="64"/>
      <c r="F53" s="64"/>
      <c r="G53" s="272"/>
    </row>
    <row r="54" spans="2:9" x14ac:dyDescent="0.25">
      <c r="B54" s="63"/>
      <c r="C54" s="64"/>
      <c r="D54" s="64"/>
      <c r="E54" s="64"/>
      <c r="F54" s="64"/>
      <c r="G54" s="272"/>
    </row>
    <row r="55" spans="2:9" ht="15.75" x14ac:dyDescent="0.25">
      <c r="B55" s="100" t="s">
        <v>255</v>
      </c>
      <c r="F55" s="95"/>
      <c r="G55" s="91"/>
    </row>
    <row r="56" spans="2:9" ht="15.75" thickBot="1" x14ac:dyDescent="0.3">
      <c r="F56" s="95"/>
      <c r="G56" s="91"/>
    </row>
    <row r="57" spans="2:9" ht="15.75" thickBot="1" x14ac:dyDescent="0.3">
      <c r="B57" s="4" t="s">
        <v>233</v>
      </c>
      <c r="C57" s="5"/>
      <c r="D57" s="5"/>
      <c r="E57" s="5"/>
      <c r="F57" s="6"/>
      <c r="G57" s="301"/>
    </row>
    <row r="58" spans="2:9" x14ac:dyDescent="0.25">
      <c r="B58" s="98" t="s">
        <v>18</v>
      </c>
      <c r="C58" s="98" t="s">
        <v>107</v>
      </c>
      <c r="D58" s="40" t="s">
        <v>366</v>
      </c>
      <c r="E58" s="16" t="s">
        <v>275</v>
      </c>
      <c r="F58" s="166" t="s">
        <v>137</v>
      </c>
      <c r="G58" s="302" t="s">
        <v>126</v>
      </c>
    </row>
    <row r="59" spans="2:9" x14ac:dyDescent="0.25">
      <c r="B59" s="92" t="s">
        <v>161</v>
      </c>
      <c r="C59" s="93" t="s">
        <v>106</v>
      </c>
      <c r="D59" s="76">
        <v>2</v>
      </c>
      <c r="E59" s="77">
        <f>IF(D59=1,HodinovaSazbaIT,IF(D59=2,HodinSazbaIT2,IF(D59=3,HodinSazbaIT3)))</f>
        <v>434.62962962962962</v>
      </c>
      <c r="F59" s="269">
        <v>0</v>
      </c>
      <c r="G59" s="160"/>
      <c r="I59" s="475" t="s">
        <v>9</v>
      </c>
    </row>
    <row r="60" spans="2:9" x14ac:dyDescent="0.25">
      <c r="B60" s="92" t="s">
        <v>226</v>
      </c>
      <c r="C60" s="93" t="s">
        <v>112</v>
      </c>
      <c r="D60" s="140"/>
      <c r="E60" s="77"/>
      <c r="F60" s="285">
        <v>0</v>
      </c>
      <c r="G60" s="160"/>
      <c r="I60" s="475" t="s">
        <v>9</v>
      </c>
    </row>
    <row r="61" spans="2:9" x14ac:dyDescent="0.25">
      <c r="B61" s="92" t="s">
        <v>162</v>
      </c>
      <c r="C61" s="93" t="s">
        <v>106</v>
      </c>
      <c r="D61" s="76">
        <v>1</v>
      </c>
      <c r="E61" s="77">
        <f>IF(D61=1,HodinovaSazbaIT,IF(D61=2,HodinSazbaIT2,IF(D61=3,HodinSazbaIT3)))</f>
        <v>453.24074074074076</v>
      </c>
      <c r="F61" s="269">
        <v>0</v>
      </c>
      <c r="G61" s="160"/>
      <c r="I61" s="475" t="s">
        <v>10</v>
      </c>
    </row>
    <row r="62" spans="2:9" x14ac:dyDescent="0.25">
      <c r="B62" s="462" t="s">
        <v>227</v>
      </c>
      <c r="C62" s="463" t="s">
        <v>112</v>
      </c>
      <c r="D62" s="140"/>
      <c r="E62" s="77"/>
      <c r="F62" s="271">
        <v>0</v>
      </c>
      <c r="G62" s="10"/>
      <c r="I62" s="475" t="s">
        <v>10</v>
      </c>
    </row>
    <row r="63" spans="2:9" ht="15.75" thickBot="1" x14ac:dyDescent="0.3">
      <c r="B63" s="457" t="s">
        <v>296</v>
      </c>
      <c r="C63" s="458" t="s">
        <v>112</v>
      </c>
      <c r="D63" s="458"/>
      <c r="E63" s="458"/>
      <c r="F63" s="464">
        <f t="shared" ref="F63" si="2">$E59*F59+F60+$E61*F61+F62</f>
        <v>0</v>
      </c>
      <c r="G63" s="458" t="s">
        <v>298</v>
      </c>
    </row>
    <row r="64" spans="2:9" ht="18.75" thickTop="1" x14ac:dyDescent="0.25">
      <c r="B64" s="49" t="s">
        <v>18</v>
      </c>
      <c r="C64" s="49" t="s">
        <v>107</v>
      </c>
      <c r="D64" s="135" t="s">
        <v>329</v>
      </c>
      <c r="E64" s="16"/>
      <c r="F64" s="164" t="s">
        <v>137</v>
      </c>
      <c r="G64" s="240" t="s">
        <v>126</v>
      </c>
    </row>
    <row r="65" spans="2:10" ht="39" thickBot="1" x14ac:dyDescent="0.3">
      <c r="B65" s="499" t="s">
        <v>451</v>
      </c>
      <c r="C65" s="500"/>
      <c r="D65" s="504" t="str">
        <f>'2. Vstupní data on-premise '!D154</f>
        <v>ANO</v>
      </c>
      <c r="E65" s="500"/>
      <c r="F65" s="502"/>
      <c r="G65" s="500" t="s">
        <v>452</v>
      </c>
    </row>
    <row r="66" spans="2:10" ht="16.5" thickTop="1" x14ac:dyDescent="0.25">
      <c r="B66" s="100"/>
      <c r="C66" s="93"/>
      <c r="D66" s="93"/>
      <c r="E66" s="93"/>
      <c r="F66" s="101"/>
    </row>
    <row r="67" spans="2:10" x14ac:dyDescent="0.25">
      <c r="B67" s="98" t="s">
        <v>246</v>
      </c>
      <c r="C67" s="98" t="s">
        <v>107</v>
      </c>
      <c r="D67" s="40" t="s">
        <v>366</v>
      </c>
      <c r="E67" s="16" t="s">
        <v>275</v>
      </c>
      <c r="F67" s="166" t="s">
        <v>137</v>
      </c>
      <c r="G67" s="302" t="s">
        <v>126</v>
      </c>
    </row>
    <row r="68" spans="2:10" x14ac:dyDescent="0.25">
      <c r="B68" s="92" t="s">
        <v>51</v>
      </c>
      <c r="C68" s="93" t="s">
        <v>106</v>
      </c>
      <c r="D68" s="76">
        <v>1</v>
      </c>
      <c r="E68" s="77">
        <f t="shared" ref="E68:E81" si="3">IF(D68=1,HodinovaSazbaIT,IF(D68=2,HodinSazbaIT2,IF(D68=3,HodinSazbaIT3)))</f>
        <v>453.24074074074076</v>
      </c>
      <c r="F68" s="269">
        <v>0</v>
      </c>
      <c r="G68" s="160"/>
      <c r="I68" s="475" t="s">
        <v>50</v>
      </c>
      <c r="J68" s="145"/>
    </row>
    <row r="69" spans="2:10" x14ac:dyDescent="0.25">
      <c r="B69" s="92" t="s">
        <v>248</v>
      </c>
      <c r="C69" s="93" t="s">
        <v>106</v>
      </c>
      <c r="D69" s="76">
        <v>2</v>
      </c>
      <c r="E69" s="77">
        <f t="shared" si="3"/>
        <v>434.62962962962962</v>
      </c>
      <c r="F69" s="269">
        <v>0</v>
      </c>
      <c r="G69" s="160"/>
      <c r="I69" s="475" t="s">
        <v>368</v>
      </c>
      <c r="J69" s="145"/>
    </row>
    <row r="70" spans="2:10" x14ac:dyDescent="0.25">
      <c r="B70" s="92" t="s">
        <v>54</v>
      </c>
      <c r="C70" s="93" t="s">
        <v>106</v>
      </c>
      <c r="D70" s="76">
        <v>2</v>
      </c>
      <c r="E70" s="77">
        <f t="shared" si="3"/>
        <v>434.62962962962962</v>
      </c>
      <c r="F70" s="269">
        <v>0</v>
      </c>
      <c r="G70" s="160"/>
      <c r="I70" s="475" t="s">
        <v>368</v>
      </c>
      <c r="J70" s="145"/>
    </row>
    <row r="71" spans="2:10" x14ac:dyDescent="0.25">
      <c r="B71" s="69" t="s">
        <v>247</v>
      </c>
      <c r="C71" s="93" t="s">
        <v>106</v>
      </c>
      <c r="D71" s="76">
        <v>2</v>
      </c>
      <c r="E71" s="77">
        <f t="shared" si="3"/>
        <v>434.62962962962962</v>
      </c>
      <c r="F71" s="269">
        <v>0</v>
      </c>
      <c r="G71" s="160"/>
      <c r="I71" s="475" t="s">
        <v>367</v>
      </c>
      <c r="J71" s="145"/>
    </row>
    <row r="72" spans="2:10" x14ac:dyDescent="0.25">
      <c r="B72" s="161" t="s">
        <v>373</v>
      </c>
      <c r="C72" s="93" t="s">
        <v>106</v>
      </c>
      <c r="D72" s="76">
        <v>3</v>
      </c>
      <c r="E72" s="77">
        <f t="shared" si="3"/>
        <v>409.60648148148147</v>
      </c>
      <c r="F72" s="269">
        <v>0</v>
      </c>
      <c r="G72" s="160"/>
      <c r="I72" s="475" t="s">
        <v>56</v>
      </c>
      <c r="J72" s="145"/>
    </row>
    <row r="73" spans="2:10" x14ac:dyDescent="0.25">
      <c r="B73" s="92" t="s">
        <v>417</v>
      </c>
      <c r="C73" s="93" t="s">
        <v>106</v>
      </c>
      <c r="D73" s="76">
        <v>3</v>
      </c>
      <c r="E73" s="77">
        <f t="shared" si="3"/>
        <v>409.60648148148147</v>
      </c>
      <c r="F73" s="269">
        <v>0</v>
      </c>
      <c r="G73" s="160"/>
      <c r="I73" s="475" t="s">
        <v>418</v>
      </c>
      <c r="J73" s="516"/>
    </row>
    <row r="74" spans="2:10" x14ac:dyDescent="0.25">
      <c r="B74" s="92" t="s">
        <v>396</v>
      </c>
      <c r="C74" s="93" t="s">
        <v>106</v>
      </c>
      <c r="D74" s="76">
        <v>3</v>
      </c>
      <c r="E74" s="77">
        <f t="shared" si="3"/>
        <v>409.60648148148147</v>
      </c>
      <c r="F74" s="269">
        <v>0</v>
      </c>
      <c r="G74" s="160"/>
      <c r="I74" s="475" t="s">
        <v>57</v>
      </c>
      <c r="J74" s="516"/>
    </row>
    <row r="75" spans="2:10" x14ac:dyDescent="0.25">
      <c r="B75" s="92" t="s">
        <v>261</v>
      </c>
      <c r="C75" s="93" t="s">
        <v>106</v>
      </c>
      <c r="D75" s="76">
        <v>2</v>
      </c>
      <c r="E75" s="77">
        <f t="shared" si="3"/>
        <v>434.62962962962962</v>
      </c>
      <c r="F75" s="269">
        <v>0</v>
      </c>
      <c r="G75" s="160"/>
      <c r="I75" s="475" t="s">
        <v>58</v>
      </c>
      <c r="J75" s="145"/>
    </row>
    <row r="76" spans="2:10" x14ac:dyDescent="0.25">
      <c r="B76" s="92" t="s">
        <v>262</v>
      </c>
      <c r="C76" s="93" t="s">
        <v>106</v>
      </c>
      <c r="D76" s="76">
        <v>2</v>
      </c>
      <c r="E76" s="77">
        <f t="shared" si="3"/>
        <v>434.62962962962962</v>
      </c>
      <c r="F76" s="269">
        <v>0</v>
      </c>
      <c r="G76" s="238"/>
      <c r="I76" s="475" t="s">
        <v>61</v>
      </c>
      <c r="J76" s="145"/>
    </row>
    <row r="77" spans="2:10" x14ac:dyDescent="0.25">
      <c r="B77" s="92" t="s">
        <v>63</v>
      </c>
      <c r="C77" s="93" t="s">
        <v>106</v>
      </c>
      <c r="D77" s="76">
        <v>2</v>
      </c>
      <c r="E77" s="77">
        <f t="shared" si="3"/>
        <v>434.62962962962962</v>
      </c>
      <c r="F77" s="269">
        <v>0</v>
      </c>
      <c r="G77" s="160"/>
      <c r="I77" s="475" t="s">
        <v>62</v>
      </c>
      <c r="J77" s="145"/>
    </row>
    <row r="78" spans="2:10" x14ac:dyDescent="0.25">
      <c r="B78" s="92" t="s">
        <v>65</v>
      </c>
      <c r="C78" s="93" t="s">
        <v>106</v>
      </c>
      <c r="D78" s="76">
        <v>2</v>
      </c>
      <c r="E78" s="77">
        <f t="shared" si="3"/>
        <v>434.62962962962962</v>
      </c>
      <c r="F78" s="269">
        <v>0</v>
      </c>
      <c r="G78" s="160"/>
      <c r="I78" s="475" t="s">
        <v>64</v>
      </c>
      <c r="J78" s="145"/>
    </row>
    <row r="79" spans="2:10" x14ac:dyDescent="0.25">
      <c r="B79" s="92" t="s">
        <v>67</v>
      </c>
      <c r="C79" s="93" t="s">
        <v>106</v>
      </c>
      <c r="D79" s="76">
        <v>2</v>
      </c>
      <c r="E79" s="77">
        <f t="shared" si="3"/>
        <v>434.62962962962962</v>
      </c>
      <c r="F79" s="269">
        <v>0</v>
      </c>
      <c r="G79" s="160"/>
      <c r="I79" s="475" t="s">
        <v>66</v>
      </c>
      <c r="J79" s="145"/>
    </row>
    <row r="80" spans="2:10" x14ac:dyDescent="0.25">
      <c r="B80" s="92" t="s">
        <v>69</v>
      </c>
      <c r="C80" s="93" t="s">
        <v>106</v>
      </c>
      <c r="D80" s="76">
        <v>2</v>
      </c>
      <c r="E80" s="77">
        <f t="shared" si="3"/>
        <v>434.62962962962962</v>
      </c>
      <c r="F80" s="269">
        <v>0</v>
      </c>
      <c r="G80" s="160"/>
      <c r="I80" s="475" t="s">
        <v>68</v>
      </c>
      <c r="J80" s="145"/>
    </row>
    <row r="81" spans="1:10" x14ac:dyDescent="0.25">
      <c r="B81" s="92" t="s">
        <v>288</v>
      </c>
      <c r="C81" s="93" t="s">
        <v>106</v>
      </c>
      <c r="D81" s="76">
        <v>2</v>
      </c>
      <c r="E81" s="77">
        <f t="shared" si="3"/>
        <v>434.62962962962962</v>
      </c>
      <c r="F81" s="269">
        <v>0</v>
      </c>
      <c r="G81" s="160"/>
      <c r="I81" s="475" t="s">
        <v>283</v>
      </c>
      <c r="J81" s="145"/>
    </row>
    <row r="82" spans="1:10" x14ac:dyDescent="0.25">
      <c r="B82" s="465" t="s">
        <v>228</v>
      </c>
      <c r="C82" s="466" t="s">
        <v>253</v>
      </c>
      <c r="D82" s="140"/>
      <c r="E82" s="77"/>
      <c r="F82" s="271">
        <v>0</v>
      </c>
      <c r="G82" s="160"/>
      <c r="I82" s="475" t="s">
        <v>284</v>
      </c>
      <c r="J82" s="145"/>
    </row>
    <row r="83" spans="1:10" ht="15.75" thickBot="1" x14ac:dyDescent="0.3">
      <c r="B83" s="457" t="s">
        <v>133</v>
      </c>
      <c r="C83" s="458" t="s">
        <v>112</v>
      </c>
      <c r="D83" s="458"/>
      <c r="E83" s="458"/>
      <c r="F83" s="467">
        <f>((SUMIF(D68:D81,1,F68:F81)*HodinovaSazbaIT))+((SUMIF(D68:D81,2,F68:F81)*HodinSazbaIT2))+((SUMIF(D68:D81,3,F68:F81)*HodinSazbaIT3))+F82</f>
        <v>0</v>
      </c>
      <c r="G83" s="458" t="s">
        <v>298</v>
      </c>
      <c r="J83" s="145"/>
    </row>
    <row r="84" spans="1:10" ht="18.75" thickTop="1" x14ac:dyDescent="0.25">
      <c r="B84" s="302" t="s">
        <v>246</v>
      </c>
      <c r="C84" s="49" t="s">
        <v>107</v>
      </c>
      <c r="D84" s="135" t="s">
        <v>329</v>
      </c>
      <c r="E84" s="16"/>
      <c r="F84" s="164" t="s">
        <v>137</v>
      </c>
      <c r="G84" s="240" t="s">
        <v>126</v>
      </c>
    </row>
    <row r="85" spans="1:10" ht="39" thickBot="1" x14ac:dyDescent="0.3">
      <c r="B85" s="499" t="s">
        <v>451</v>
      </c>
      <c r="C85" s="500"/>
      <c r="D85" s="504" t="str">
        <f>'2. Vstupní data on-premise '!D174</f>
        <v>ANO</v>
      </c>
      <c r="E85" s="500"/>
      <c r="F85" s="502"/>
      <c r="G85" s="500" t="s">
        <v>452</v>
      </c>
    </row>
    <row r="86" spans="1:10" ht="15.75" thickTop="1" x14ac:dyDescent="0.25">
      <c r="B86" s="108"/>
      <c r="C86" s="108"/>
      <c r="D86" s="108"/>
      <c r="E86" s="108"/>
      <c r="F86" s="109"/>
    </row>
    <row r="87" spans="1:10" x14ac:dyDescent="0.25">
      <c r="B87" s="111" t="s">
        <v>290</v>
      </c>
    </row>
    <row r="88" spans="1:10" x14ac:dyDescent="0.25">
      <c r="B88" s="120"/>
      <c r="C88" s="525" t="s">
        <v>295</v>
      </c>
      <c r="D88" s="520"/>
      <c r="E88" s="520"/>
      <c r="F88" s="521"/>
    </row>
    <row r="89" spans="1:10" x14ac:dyDescent="0.25">
      <c r="B89" s="120" t="s">
        <v>305</v>
      </c>
      <c r="C89" s="121" t="s">
        <v>292</v>
      </c>
      <c r="D89" s="162" t="s">
        <v>293</v>
      </c>
      <c r="E89" s="162"/>
      <c r="F89" s="121" t="s">
        <v>294</v>
      </c>
    </row>
    <row r="90" spans="1:10" x14ac:dyDescent="0.25">
      <c r="B90" s="114" t="s">
        <v>223</v>
      </c>
      <c r="C90" s="115">
        <f>SUMIF($D14:$D17,1,$F14:$F17)</f>
        <v>0</v>
      </c>
      <c r="D90" s="115">
        <f>SUMIF($D14:$D17,2,$F14:$F17)</f>
        <v>0</v>
      </c>
      <c r="E90" s="116"/>
      <c r="F90" s="115">
        <f>SUMIF($D14:$D17,3,$F14:$F17)</f>
        <v>0</v>
      </c>
    </row>
    <row r="91" spans="1:10" x14ac:dyDescent="0.25">
      <c r="B91" s="114" t="s">
        <v>98</v>
      </c>
      <c r="C91" s="115">
        <f>SUMIF($D22:$D29,1,$F22:$F29)</f>
        <v>0</v>
      </c>
      <c r="D91" s="115">
        <f>SUMIF($D22:$D29,2,$F22:$F29)</f>
        <v>0</v>
      </c>
      <c r="E91" s="116"/>
      <c r="F91" s="115">
        <f>SUMIF($D22:$D29,3,$F22:$F29)</f>
        <v>0</v>
      </c>
    </row>
    <row r="92" spans="1:10" x14ac:dyDescent="0.25">
      <c r="B92" s="114" t="s">
        <v>258</v>
      </c>
      <c r="C92" s="115">
        <f>SUMIF($D34:$D36,1,$F34:$F36)</f>
        <v>0</v>
      </c>
      <c r="D92" s="115">
        <f>SUMIF($D34:$D36,2,$F34:$F36)</f>
        <v>0</v>
      </c>
      <c r="E92" s="116"/>
      <c r="F92" s="115">
        <f>SUMIF(D34:D36,3,F34:F36)</f>
        <v>0</v>
      </c>
    </row>
    <row r="93" spans="1:10" s="112" customFormat="1" x14ac:dyDescent="0.25">
      <c r="A93" s="111"/>
      <c r="B93" s="120" t="s">
        <v>300</v>
      </c>
      <c r="C93" s="121">
        <f>SUM(C90:C92)</f>
        <v>0</v>
      </c>
      <c r="D93" s="121">
        <f>SUM(D90:D92)</f>
        <v>0</v>
      </c>
      <c r="E93" s="162"/>
      <c r="F93" s="121">
        <f>SUM(F90:F92)</f>
        <v>0</v>
      </c>
      <c r="G93" s="307"/>
      <c r="H93" s="111"/>
      <c r="I93" s="475"/>
    </row>
    <row r="94" spans="1:10" s="130" customFormat="1" ht="6" customHeight="1" x14ac:dyDescent="0.25">
      <c r="A94" s="129"/>
      <c r="B94" s="125"/>
      <c r="C94" s="126"/>
      <c r="D94" s="127"/>
      <c r="E94" s="127"/>
      <c r="F94" s="128"/>
      <c r="G94" s="308"/>
      <c r="H94" s="129"/>
      <c r="I94" s="476"/>
    </row>
    <row r="95" spans="1:10" x14ac:dyDescent="0.25">
      <c r="B95" s="122"/>
      <c r="C95" s="522" t="s">
        <v>299</v>
      </c>
      <c r="D95" s="523"/>
      <c r="E95" s="523"/>
      <c r="F95" s="524"/>
    </row>
    <row r="96" spans="1:10" x14ac:dyDescent="0.25">
      <c r="B96" s="123" t="s">
        <v>291</v>
      </c>
      <c r="C96" s="124" t="s">
        <v>292</v>
      </c>
      <c r="D96" s="163" t="s">
        <v>293</v>
      </c>
      <c r="E96" s="163"/>
      <c r="F96" s="124" t="s">
        <v>294</v>
      </c>
    </row>
    <row r="97" spans="2:6" x14ac:dyDescent="0.25">
      <c r="B97" s="114" t="s">
        <v>18</v>
      </c>
      <c r="C97" s="144">
        <f>SUMIF(D59:D62,1,F59:F62)</f>
        <v>0</v>
      </c>
      <c r="D97" s="116">
        <f>SUMIF(D59:D62,2,F59:F62)</f>
        <v>0</v>
      </c>
      <c r="E97" s="116"/>
      <c r="F97" s="115">
        <f>SUMIF(D59:D62,3,F59:F62)</f>
        <v>0</v>
      </c>
    </row>
    <row r="98" spans="2:6" x14ac:dyDescent="0.25">
      <c r="B98" s="114" t="s">
        <v>49</v>
      </c>
      <c r="C98" s="115">
        <f>SUMIF(D68:D82,1,F68:F82)</f>
        <v>0</v>
      </c>
      <c r="D98" s="115">
        <f>SUMIF(D68:D81,2,F68:F81)</f>
        <v>0</v>
      </c>
      <c r="E98" s="116"/>
      <c r="F98" s="115">
        <f>SUMIF(D68:D81,3,F68:F81)</f>
        <v>0</v>
      </c>
    </row>
    <row r="99" spans="2:6" x14ac:dyDescent="0.25">
      <c r="B99" s="123" t="s">
        <v>300</v>
      </c>
      <c r="C99" s="124">
        <f>SUM(C97:C98)</f>
        <v>0</v>
      </c>
      <c r="D99" s="124">
        <f>SUM(D97:D98)</f>
        <v>0</v>
      </c>
      <c r="E99" s="163"/>
      <c r="F99" s="124">
        <f>SUM(F97:F98)</f>
        <v>0</v>
      </c>
    </row>
    <row r="100" spans="2:6" x14ac:dyDescent="0.25">
      <c r="B100" s="117"/>
      <c r="C100" s="117"/>
      <c r="D100" s="118"/>
      <c r="E100" s="118"/>
      <c r="F100" s="113"/>
    </row>
    <row r="101" spans="2:6" x14ac:dyDescent="0.25">
      <c r="B101" s="119"/>
      <c r="C101" s="119"/>
      <c r="D101" s="119"/>
      <c r="E101" s="119"/>
    </row>
    <row r="102" spans="2:6" x14ac:dyDescent="0.25">
      <c r="B102" s="119"/>
      <c r="C102" s="119"/>
      <c r="D102" s="119"/>
      <c r="E102" s="119"/>
    </row>
    <row r="103" spans="2:6" x14ac:dyDescent="0.25">
      <c r="B103" s="119"/>
      <c r="C103" s="119"/>
      <c r="D103" s="119"/>
      <c r="E103" s="119"/>
    </row>
    <row r="104" spans="2:6" x14ac:dyDescent="0.25">
      <c r="B104" s="119"/>
      <c r="C104" s="119"/>
      <c r="D104" s="119"/>
      <c r="E104" s="119"/>
    </row>
    <row r="105" spans="2:6" x14ac:dyDescent="0.25">
      <c r="B105" s="119"/>
      <c r="C105" s="119"/>
      <c r="D105" s="119"/>
      <c r="E105" s="119"/>
    </row>
    <row r="106" spans="2:6" x14ac:dyDescent="0.25">
      <c r="B106" s="119"/>
      <c r="C106" s="119"/>
      <c r="D106" s="119"/>
      <c r="E106" s="119"/>
    </row>
    <row r="107" spans="2:6" x14ac:dyDescent="0.25">
      <c r="B107" s="119"/>
      <c r="C107" s="119"/>
      <c r="D107" s="119"/>
      <c r="E107" s="119"/>
    </row>
    <row r="108" spans="2:6" x14ac:dyDescent="0.25">
      <c r="B108" s="119"/>
      <c r="C108" s="119"/>
      <c r="D108" s="119"/>
      <c r="E108" s="119"/>
    </row>
    <row r="109" spans="2:6" x14ac:dyDescent="0.25">
      <c r="B109" s="119"/>
      <c r="C109" s="119"/>
      <c r="D109" s="119"/>
      <c r="E109" s="119"/>
    </row>
    <row r="110" spans="2:6" x14ac:dyDescent="0.25">
      <c r="B110" s="119"/>
      <c r="C110" s="119"/>
      <c r="D110" s="119"/>
      <c r="E110" s="119"/>
    </row>
    <row r="111" spans="2:6" x14ac:dyDescent="0.25">
      <c r="B111" s="119"/>
      <c r="C111" s="119"/>
      <c r="D111" s="119"/>
      <c r="E111" s="119"/>
    </row>
    <row r="112" spans="2:6" x14ac:dyDescent="0.25">
      <c r="B112" s="119"/>
      <c r="C112" s="119"/>
      <c r="D112" s="119"/>
      <c r="E112" s="119"/>
    </row>
    <row r="113" spans="2:5" x14ac:dyDescent="0.25">
      <c r="B113" s="119"/>
      <c r="C113" s="119"/>
      <c r="D113" s="119"/>
      <c r="E113" s="119"/>
    </row>
    <row r="114" spans="2:5" x14ac:dyDescent="0.25">
      <c r="B114" s="119"/>
      <c r="C114" s="119"/>
      <c r="D114" s="119"/>
      <c r="E114" s="119"/>
    </row>
    <row r="115" spans="2:5" x14ac:dyDescent="0.25">
      <c r="B115" s="119"/>
      <c r="C115" s="119"/>
      <c r="D115" s="119"/>
      <c r="E115" s="119"/>
    </row>
    <row r="116" spans="2:5" x14ac:dyDescent="0.25">
      <c r="B116" s="119"/>
      <c r="C116" s="119"/>
      <c r="D116" s="119"/>
      <c r="E116" s="119"/>
    </row>
    <row r="117" spans="2:5" x14ac:dyDescent="0.25">
      <c r="B117" s="119"/>
      <c r="C117" s="119"/>
      <c r="D117" s="119"/>
      <c r="E117" s="119"/>
    </row>
    <row r="118" spans="2:5" x14ac:dyDescent="0.25">
      <c r="B118" s="119"/>
      <c r="C118" s="119"/>
      <c r="D118" s="119"/>
      <c r="E118" s="119"/>
    </row>
    <row r="119" spans="2:5" x14ac:dyDescent="0.25">
      <c r="B119" s="119"/>
      <c r="C119" s="119"/>
      <c r="D119" s="119"/>
      <c r="E119" s="119"/>
    </row>
    <row r="120" spans="2:5" x14ac:dyDescent="0.25">
      <c r="B120" s="119"/>
      <c r="C120" s="119"/>
      <c r="D120" s="119"/>
      <c r="E120" s="119"/>
    </row>
    <row r="121" spans="2:5" x14ac:dyDescent="0.25">
      <c r="B121" s="119"/>
      <c r="C121" s="119"/>
      <c r="D121" s="119"/>
      <c r="E121" s="119"/>
    </row>
    <row r="122" spans="2:5" x14ac:dyDescent="0.25">
      <c r="B122" s="119"/>
      <c r="C122" s="119"/>
      <c r="D122" s="119"/>
      <c r="E122" s="119"/>
    </row>
    <row r="123" spans="2:5" x14ac:dyDescent="0.25">
      <c r="B123" s="119"/>
      <c r="C123" s="119"/>
      <c r="D123" s="119"/>
      <c r="E123" s="119"/>
    </row>
    <row r="124" spans="2:5" x14ac:dyDescent="0.25">
      <c r="B124" s="119"/>
      <c r="C124" s="119"/>
      <c r="D124" s="119"/>
      <c r="E124" s="119"/>
    </row>
    <row r="125" spans="2:5" x14ac:dyDescent="0.25">
      <c r="B125" s="119"/>
      <c r="C125" s="119"/>
      <c r="D125" s="119"/>
      <c r="E125" s="119"/>
    </row>
    <row r="126" spans="2:5" x14ac:dyDescent="0.25">
      <c r="B126" s="119"/>
      <c r="C126" s="119"/>
      <c r="D126" s="119"/>
      <c r="E126" s="119"/>
    </row>
    <row r="127" spans="2:5" x14ac:dyDescent="0.25">
      <c r="B127" s="119"/>
      <c r="C127" s="119"/>
      <c r="D127" s="119"/>
      <c r="E127" s="119"/>
    </row>
    <row r="128" spans="2:5" x14ac:dyDescent="0.25">
      <c r="B128" s="119"/>
      <c r="C128" s="119"/>
      <c r="D128" s="119"/>
      <c r="E128" s="119"/>
    </row>
    <row r="129" spans="2:5" x14ac:dyDescent="0.25">
      <c r="B129" s="119"/>
      <c r="C129" s="119"/>
      <c r="D129" s="119"/>
      <c r="E129" s="119"/>
    </row>
    <row r="130" spans="2:5" x14ac:dyDescent="0.25">
      <c r="B130" s="119"/>
      <c r="C130" s="119"/>
      <c r="D130" s="119"/>
      <c r="E130" s="119"/>
    </row>
    <row r="131" spans="2:5" x14ac:dyDescent="0.25">
      <c r="B131" s="119"/>
      <c r="C131" s="119"/>
      <c r="D131" s="119"/>
      <c r="E131" s="119"/>
    </row>
    <row r="132" spans="2:5" x14ac:dyDescent="0.25">
      <c r="B132" s="119"/>
      <c r="C132" s="119"/>
      <c r="D132" s="119"/>
      <c r="E132" s="119"/>
    </row>
    <row r="133" spans="2:5" x14ac:dyDescent="0.25">
      <c r="B133" s="119"/>
      <c r="C133" s="119"/>
      <c r="D133" s="119"/>
      <c r="E133" s="119"/>
    </row>
    <row r="134" spans="2:5" x14ac:dyDescent="0.25">
      <c r="B134" s="119"/>
      <c r="C134" s="119"/>
      <c r="D134" s="119"/>
      <c r="E134" s="119"/>
    </row>
    <row r="135" spans="2:5" x14ac:dyDescent="0.25">
      <c r="B135" s="119"/>
      <c r="C135" s="119"/>
      <c r="D135" s="119"/>
      <c r="E135" s="119"/>
    </row>
    <row r="136" spans="2:5" x14ac:dyDescent="0.25">
      <c r="B136" s="119"/>
      <c r="C136" s="119"/>
      <c r="D136" s="119"/>
      <c r="E136" s="119"/>
    </row>
    <row r="137" spans="2:5" x14ac:dyDescent="0.25">
      <c r="B137" s="119"/>
      <c r="C137" s="119"/>
      <c r="D137" s="119"/>
      <c r="E137" s="119"/>
    </row>
    <row r="138" spans="2:5" x14ac:dyDescent="0.25">
      <c r="B138" s="119"/>
      <c r="C138" s="119"/>
      <c r="D138" s="119"/>
      <c r="E138" s="119"/>
    </row>
    <row r="139" spans="2:5" x14ac:dyDescent="0.25">
      <c r="B139" s="119"/>
      <c r="C139" s="119"/>
      <c r="D139" s="119"/>
      <c r="E139" s="119"/>
    </row>
    <row r="140" spans="2:5" x14ac:dyDescent="0.25">
      <c r="B140" s="119"/>
      <c r="C140" s="119"/>
      <c r="D140" s="119"/>
      <c r="E140" s="119"/>
    </row>
    <row r="141" spans="2:5" x14ac:dyDescent="0.25">
      <c r="B141" s="119"/>
      <c r="C141" s="119"/>
      <c r="D141" s="119"/>
      <c r="E141" s="119"/>
    </row>
    <row r="142" spans="2:5" x14ac:dyDescent="0.25">
      <c r="B142" s="119"/>
      <c r="C142" s="119"/>
      <c r="D142" s="119"/>
      <c r="E142" s="119"/>
    </row>
    <row r="143" spans="2:5" x14ac:dyDescent="0.25">
      <c r="B143" s="119"/>
      <c r="C143" s="119"/>
      <c r="D143" s="119"/>
      <c r="E143" s="119"/>
    </row>
    <row r="144" spans="2:5" x14ac:dyDescent="0.25">
      <c r="B144" s="119"/>
      <c r="C144" s="119"/>
      <c r="D144" s="119"/>
      <c r="E144" s="119"/>
    </row>
    <row r="145" spans="2:5" x14ac:dyDescent="0.25">
      <c r="B145" s="119"/>
      <c r="C145" s="119"/>
      <c r="D145" s="119"/>
      <c r="E145" s="119"/>
    </row>
    <row r="146" spans="2:5" x14ac:dyDescent="0.25">
      <c r="B146" s="119"/>
      <c r="C146" s="119"/>
      <c r="D146" s="119"/>
      <c r="E146" s="119"/>
    </row>
    <row r="147" spans="2:5" x14ac:dyDescent="0.25">
      <c r="B147" s="119"/>
      <c r="C147" s="119"/>
      <c r="D147" s="119"/>
      <c r="E147" s="119"/>
    </row>
    <row r="148" spans="2:5" x14ac:dyDescent="0.25">
      <c r="B148" s="119"/>
      <c r="C148" s="119"/>
      <c r="D148" s="119"/>
      <c r="E148" s="119"/>
    </row>
    <row r="149" spans="2:5" x14ac:dyDescent="0.25">
      <c r="B149" s="119"/>
      <c r="C149" s="119"/>
      <c r="D149" s="119"/>
      <c r="E149" s="119"/>
    </row>
    <row r="150" spans="2:5" x14ac:dyDescent="0.25">
      <c r="B150" s="119"/>
      <c r="C150" s="119"/>
      <c r="D150" s="119"/>
      <c r="E150" s="119"/>
    </row>
    <row r="151" spans="2:5" x14ac:dyDescent="0.25">
      <c r="B151" s="119"/>
      <c r="C151" s="119"/>
      <c r="D151" s="119"/>
      <c r="E151" s="119"/>
    </row>
    <row r="152" spans="2:5" x14ac:dyDescent="0.25">
      <c r="B152" s="119"/>
      <c r="C152" s="119"/>
      <c r="D152" s="119"/>
      <c r="E152" s="119"/>
    </row>
    <row r="153" spans="2:5" x14ac:dyDescent="0.25">
      <c r="B153" s="119"/>
      <c r="C153" s="119"/>
      <c r="D153" s="119"/>
      <c r="E153" s="119"/>
    </row>
    <row r="154" spans="2:5" x14ac:dyDescent="0.25">
      <c r="B154" s="119"/>
      <c r="C154" s="119"/>
      <c r="D154" s="119"/>
      <c r="E154" s="119"/>
    </row>
    <row r="155" spans="2:5" x14ac:dyDescent="0.25">
      <c r="B155" s="119"/>
      <c r="C155" s="119"/>
      <c r="D155" s="119"/>
      <c r="E155" s="119"/>
    </row>
    <row r="156" spans="2:5" x14ac:dyDescent="0.25">
      <c r="B156" s="119"/>
      <c r="C156" s="119"/>
      <c r="D156" s="119"/>
      <c r="E156" s="119"/>
    </row>
    <row r="157" spans="2:5" x14ac:dyDescent="0.25">
      <c r="B157" s="119"/>
      <c r="C157" s="119"/>
      <c r="D157" s="119"/>
      <c r="E157" s="119"/>
    </row>
    <row r="158" spans="2:5" x14ac:dyDescent="0.25">
      <c r="B158" s="119"/>
      <c r="C158" s="119"/>
      <c r="D158" s="119"/>
      <c r="E158" s="119"/>
    </row>
    <row r="159" spans="2:5" x14ac:dyDescent="0.25">
      <c r="B159" s="119"/>
      <c r="C159" s="119"/>
      <c r="D159" s="119"/>
      <c r="E159" s="119"/>
    </row>
    <row r="160" spans="2:5" x14ac:dyDescent="0.25">
      <c r="B160" s="119"/>
      <c r="C160" s="119"/>
      <c r="D160" s="119"/>
      <c r="E160" s="119"/>
    </row>
    <row r="161" spans="2:5" x14ac:dyDescent="0.25">
      <c r="B161" s="119"/>
      <c r="C161" s="119"/>
      <c r="D161" s="119"/>
      <c r="E161" s="119"/>
    </row>
    <row r="162" spans="2:5" x14ac:dyDescent="0.25">
      <c r="B162" s="119"/>
      <c r="C162" s="119"/>
      <c r="D162" s="119"/>
      <c r="E162" s="119"/>
    </row>
    <row r="163" spans="2:5" x14ac:dyDescent="0.25">
      <c r="B163" s="119"/>
      <c r="C163" s="119"/>
      <c r="D163" s="119"/>
      <c r="E163" s="119"/>
    </row>
    <row r="164" spans="2:5" x14ac:dyDescent="0.25">
      <c r="B164" s="119"/>
      <c r="C164" s="119"/>
      <c r="D164" s="119"/>
      <c r="E164" s="119"/>
    </row>
    <row r="165" spans="2:5" x14ac:dyDescent="0.25">
      <c r="B165" s="119"/>
      <c r="C165" s="119"/>
      <c r="D165" s="119"/>
      <c r="E165" s="119"/>
    </row>
    <row r="166" spans="2:5" x14ac:dyDescent="0.25">
      <c r="B166" s="119"/>
      <c r="C166" s="119"/>
      <c r="D166" s="119"/>
      <c r="E166" s="119"/>
    </row>
    <row r="167" spans="2:5" x14ac:dyDescent="0.25">
      <c r="B167" s="119"/>
      <c r="C167" s="119"/>
      <c r="D167" s="119"/>
      <c r="E167" s="119"/>
    </row>
    <row r="168" spans="2:5" x14ac:dyDescent="0.25">
      <c r="B168" s="119"/>
      <c r="C168" s="119"/>
      <c r="D168" s="119"/>
      <c r="E168" s="119"/>
    </row>
    <row r="169" spans="2:5" x14ac:dyDescent="0.25">
      <c r="B169" s="119"/>
      <c r="C169" s="119"/>
      <c r="D169" s="119"/>
      <c r="E169" s="119"/>
    </row>
    <row r="170" spans="2:5" x14ac:dyDescent="0.25">
      <c r="B170" s="119"/>
      <c r="C170" s="119"/>
      <c r="D170" s="119"/>
      <c r="E170" s="119"/>
    </row>
    <row r="171" spans="2:5" x14ac:dyDescent="0.25">
      <c r="B171" s="119"/>
      <c r="C171" s="119"/>
      <c r="D171" s="119"/>
      <c r="E171" s="119"/>
    </row>
    <row r="172" spans="2:5" x14ac:dyDescent="0.25">
      <c r="B172" s="119"/>
      <c r="C172" s="119"/>
      <c r="D172" s="119"/>
      <c r="E172" s="119"/>
    </row>
    <row r="173" spans="2:5" x14ac:dyDescent="0.25">
      <c r="B173" s="119"/>
      <c r="C173" s="119"/>
      <c r="D173" s="119"/>
      <c r="E173" s="119"/>
    </row>
    <row r="174" spans="2:5" x14ac:dyDescent="0.25">
      <c r="B174" s="119"/>
      <c r="C174" s="119"/>
      <c r="D174" s="119"/>
      <c r="E174" s="119"/>
    </row>
    <row r="175" spans="2:5" x14ac:dyDescent="0.25">
      <c r="B175" s="119"/>
      <c r="C175" s="119"/>
      <c r="D175" s="119"/>
      <c r="E175" s="119"/>
    </row>
    <row r="176" spans="2:5" x14ac:dyDescent="0.25">
      <c r="B176" s="119"/>
      <c r="C176" s="119"/>
      <c r="D176" s="119"/>
      <c r="E176" s="119"/>
    </row>
    <row r="177" spans="2:5" x14ac:dyDescent="0.25">
      <c r="B177" s="119"/>
      <c r="C177" s="119"/>
      <c r="D177" s="119"/>
      <c r="E177" s="119"/>
    </row>
    <row r="178" spans="2:5" x14ac:dyDescent="0.25">
      <c r="B178" s="119"/>
      <c r="C178" s="119"/>
      <c r="D178" s="119"/>
      <c r="E178" s="119"/>
    </row>
    <row r="179" spans="2:5" x14ac:dyDescent="0.25">
      <c r="B179" s="119"/>
      <c r="C179" s="119"/>
      <c r="D179" s="119"/>
      <c r="E179" s="119"/>
    </row>
    <row r="180" spans="2:5" x14ac:dyDescent="0.25">
      <c r="B180" s="119"/>
      <c r="C180" s="119"/>
      <c r="D180" s="119"/>
      <c r="E180" s="119"/>
    </row>
    <row r="181" spans="2:5" x14ac:dyDescent="0.25">
      <c r="B181" s="119"/>
      <c r="C181" s="119"/>
      <c r="D181" s="119"/>
      <c r="E181" s="119"/>
    </row>
    <row r="182" spans="2:5" x14ac:dyDescent="0.25">
      <c r="B182" s="119"/>
      <c r="C182" s="119"/>
      <c r="D182" s="119"/>
      <c r="E182" s="119"/>
    </row>
    <row r="183" spans="2:5" x14ac:dyDescent="0.25">
      <c r="B183" s="119"/>
      <c r="C183" s="119"/>
      <c r="D183" s="119"/>
      <c r="E183" s="119"/>
    </row>
    <row r="184" spans="2:5" x14ac:dyDescent="0.25">
      <c r="B184" s="119"/>
      <c r="C184" s="119"/>
      <c r="D184" s="119"/>
      <c r="E184" s="119"/>
    </row>
    <row r="185" spans="2:5" x14ac:dyDescent="0.25">
      <c r="B185" s="119"/>
      <c r="C185" s="119"/>
      <c r="D185" s="119"/>
      <c r="E185" s="119"/>
    </row>
    <row r="186" spans="2:5" x14ac:dyDescent="0.25">
      <c r="B186" s="119"/>
      <c r="C186" s="119"/>
      <c r="D186" s="119"/>
      <c r="E186" s="119"/>
    </row>
    <row r="187" spans="2:5" x14ac:dyDescent="0.25">
      <c r="B187" s="119"/>
      <c r="C187" s="119"/>
      <c r="D187" s="119"/>
      <c r="E187" s="119"/>
    </row>
    <row r="188" spans="2:5" x14ac:dyDescent="0.25">
      <c r="B188" s="119"/>
      <c r="C188" s="119"/>
      <c r="D188" s="119"/>
      <c r="E188" s="119"/>
    </row>
  </sheetData>
  <mergeCells count="2">
    <mergeCell ref="C88:F88"/>
    <mergeCell ref="C95:F95"/>
  </mergeCells>
  <dataValidations count="2">
    <dataValidation type="list" allowBlank="1" showInputMessage="1" showErrorMessage="1" sqref="D43 D50:D51" xr:uid="{00000000-0002-0000-0300-000001000000}">
      <formula1>AnoNe</formula1>
    </dataValidation>
    <dataValidation type="list" allowBlank="1" showInputMessage="1" showErrorMessage="1" sqref="D14:D16 D22:D28 D34:D36 D59 D61 D68:D81" xr:uid="{00000000-0002-0000-0300-000002000000}">
      <formula1>Typrole</formula1>
    </dataValidation>
  </dataValidations>
  <printOptions horizontalCentered="1"/>
  <pageMargins left="0" right="0" top="0.35433070866141736" bottom="0.35433070866141736" header="0" footer="0.15748031496062992"/>
  <pageSetup paperSize="9" scale="53" orientation="portrait" r:id="rId1"/>
  <headerFooter>
    <oddFooter>&amp;L&amp;"Calibri,Obyčejné"&amp;9Cloudové řešení - vstupy&amp;C&amp;"Calibri,Obyčejné"&amp;9&amp;P/&amp;N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 codeName="Sheet3">
    <tabColor rgb="FF0070C0"/>
  </sheetPr>
  <dimension ref="A1:O167"/>
  <sheetViews>
    <sheetView view="pageBreakPreview" zoomScaleNormal="100" zoomScaleSheetLayoutView="100" workbookViewId="0">
      <selection activeCell="S23" sqref="S23"/>
    </sheetView>
  </sheetViews>
  <sheetFormatPr defaultColWidth="7.625" defaultRowHeight="15" outlineLevelRow="1" x14ac:dyDescent="0.25"/>
  <cols>
    <col min="1" max="1" width="3.125" style="310" customWidth="1"/>
    <col min="2" max="2" width="4.125" style="311" customWidth="1"/>
    <col min="3" max="3" width="49" style="316" bestFit="1" customWidth="1"/>
    <col min="4" max="4" width="7.625" style="392"/>
    <col min="5" max="10" width="12.625" style="316" customWidth="1"/>
    <col min="11" max="11" width="2.5" style="316" customWidth="1"/>
    <col min="12" max="12" width="9.875" style="310" customWidth="1"/>
    <col min="13" max="15" width="7.625" style="310"/>
    <col min="16" max="250" width="7.625" style="1"/>
    <col min="251" max="251" width="40.5" style="1" customWidth="1"/>
    <col min="252" max="252" width="7.625" style="1"/>
    <col min="253" max="253" width="10.625" style="1" bestFit="1" customWidth="1"/>
    <col min="254" max="254" width="8.875" style="1" customWidth="1"/>
    <col min="255" max="257" width="8.125" style="1" bestFit="1" customWidth="1"/>
    <col min="258" max="258" width="9.125" style="1" bestFit="1" customWidth="1"/>
    <col min="259" max="506" width="7.625" style="1"/>
    <col min="507" max="507" width="40.5" style="1" customWidth="1"/>
    <col min="508" max="508" width="7.625" style="1"/>
    <col min="509" max="509" width="10.625" style="1" bestFit="1" customWidth="1"/>
    <col min="510" max="510" width="8.875" style="1" customWidth="1"/>
    <col min="511" max="513" width="8.125" style="1" bestFit="1" customWidth="1"/>
    <col min="514" max="514" width="9.125" style="1" bestFit="1" customWidth="1"/>
    <col min="515" max="762" width="7.625" style="1"/>
    <col min="763" max="763" width="40.5" style="1" customWidth="1"/>
    <col min="764" max="764" width="7.625" style="1"/>
    <col min="765" max="765" width="10.625" style="1" bestFit="1" customWidth="1"/>
    <col min="766" max="766" width="8.875" style="1" customWidth="1"/>
    <col min="767" max="769" width="8.125" style="1" bestFit="1" customWidth="1"/>
    <col min="770" max="770" width="9.125" style="1" bestFit="1" customWidth="1"/>
    <col min="771" max="1018" width="7.625" style="1"/>
    <col min="1019" max="1019" width="40.5" style="1" customWidth="1"/>
    <col min="1020" max="1020" width="7.625" style="1"/>
    <col min="1021" max="1021" width="10.625" style="1" bestFit="1" customWidth="1"/>
    <col min="1022" max="1022" width="8.875" style="1" customWidth="1"/>
    <col min="1023" max="1025" width="8.125" style="1" bestFit="1" customWidth="1"/>
    <col min="1026" max="1026" width="9.125" style="1" bestFit="1" customWidth="1"/>
    <col min="1027" max="1274" width="7.625" style="1"/>
    <col min="1275" max="1275" width="40.5" style="1" customWidth="1"/>
    <col min="1276" max="1276" width="7.625" style="1"/>
    <col min="1277" max="1277" width="10.625" style="1" bestFit="1" customWidth="1"/>
    <col min="1278" max="1278" width="8.875" style="1" customWidth="1"/>
    <col min="1279" max="1281" width="8.125" style="1" bestFit="1" customWidth="1"/>
    <col min="1282" max="1282" width="9.125" style="1" bestFit="1" customWidth="1"/>
    <col min="1283" max="1530" width="7.625" style="1"/>
    <col min="1531" max="1531" width="40.5" style="1" customWidth="1"/>
    <col min="1532" max="1532" width="7.625" style="1"/>
    <col min="1533" max="1533" width="10.625" style="1" bestFit="1" customWidth="1"/>
    <col min="1534" max="1534" width="8.875" style="1" customWidth="1"/>
    <col min="1535" max="1537" width="8.125" style="1" bestFit="1" customWidth="1"/>
    <col min="1538" max="1538" width="9.125" style="1" bestFit="1" customWidth="1"/>
    <col min="1539" max="1786" width="7.625" style="1"/>
    <col min="1787" max="1787" width="40.5" style="1" customWidth="1"/>
    <col min="1788" max="1788" width="7.625" style="1"/>
    <col min="1789" max="1789" width="10.625" style="1" bestFit="1" customWidth="1"/>
    <col min="1790" max="1790" width="8.875" style="1" customWidth="1"/>
    <col min="1791" max="1793" width="8.125" style="1" bestFit="1" customWidth="1"/>
    <col min="1794" max="1794" width="9.125" style="1" bestFit="1" customWidth="1"/>
    <col min="1795" max="2042" width="7.625" style="1"/>
    <col min="2043" max="2043" width="40.5" style="1" customWidth="1"/>
    <col min="2044" max="2044" width="7.625" style="1"/>
    <col min="2045" max="2045" width="10.625" style="1" bestFit="1" customWidth="1"/>
    <col min="2046" max="2046" width="8.875" style="1" customWidth="1"/>
    <col min="2047" max="2049" width="8.125" style="1" bestFit="1" customWidth="1"/>
    <col min="2050" max="2050" width="9.125" style="1" bestFit="1" customWidth="1"/>
    <col min="2051" max="2298" width="7.625" style="1"/>
    <col min="2299" max="2299" width="40.5" style="1" customWidth="1"/>
    <col min="2300" max="2300" width="7.625" style="1"/>
    <col min="2301" max="2301" width="10.625" style="1" bestFit="1" customWidth="1"/>
    <col min="2302" max="2302" width="8.875" style="1" customWidth="1"/>
    <col min="2303" max="2305" width="8.125" style="1" bestFit="1" customWidth="1"/>
    <col min="2306" max="2306" width="9.125" style="1" bestFit="1" customWidth="1"/>
    <col min="2307" max="2554" width="7.625" style="1"/>
    <col min="2555" max="2555" width="40.5" style="1" customWidth="1"/>
    <col min="2556" max="2556" width="7.625" style="1"/>
    <col min="2557" max="2557" width="10.625" style="1" bestFit="1" customWidth="1"/>
    <col min="2558" max="2558" width="8.875" style="1" customWidth="1"/>
    <col min="2559" max="2561" width="8.125" style="1" bestFit="1" customWidth="1"/>
    <col min="2562" max="2562" width="9.125" style="1" bestFit="1" customWidth="1"/>
    <col min="2563" max="2810" width="7.625" style="1"/>
    <col min="2811" max="2811" width="40.5" style="1" customWidth="1"/>
    <col min="2812" max="2812" width="7.625" style="1"/>
    <col min="2813" max="2813" width="10.625" style="1" bestFit="1" customWidth="1"/>
    <col min="2814" max="2814" width="8.875" style="1" customWidth="1"/>
    <col min="2815" max="2817" width="8.125" style="1" bestFit="1" customWidth="1"/>
    <col min="2818" max="2818" width="9.125" style="1" bestFit="1" customWidth="1"/>
    <col min="2819" max="3066" width="7.625" style="1"/>
    <col min="3067" max="3067" width="40.5" style="1" customWidth="1"/>
    <col min="3068" max="3068" width="7.625" style="1"/>
    <col min="3069" max="3069" width="10.625" style="1" bestFit="1" customWidth="1"/>
    <col min="3070" max="3070" width="8.875" style="1" customWidth="1"/>
    <col min="3071" max="3073" width="8.125" style="1" bestFit="1" customWidth="1"/>
    <col min="3074" max="3074" width="9.125" style="1" bestFit="1" customWidth="1"/>
    <col min="3075" max="3322" width="7.625" style="1"/>
    <col min="3323" max="3323" width="40.5" style="1" customWidth="1"/>
    <col min="3324" max="3324" width="7.625" style="1"/>
    <col min="3325" max="3325" width="10.625" style="1" bestFit="1" customWidth="1"/>
    <col min="3326" max="3326" width="8.875" style="1" customWidth="1"/>
    <col min="3327" max="3329" width="8.125" style="1" bestFit="1" customWidth="1"/>
    <col min="3330" max="3330" width="9.125" style="1" bestFit="1" customWidth="1"/>
    <col min="3331" max="3578" width="7.625" style="1"/>
    <col min="3579" max="3579" width="40.5" style="1" customWidth="1"/>
    <col min="3580" max="3580" width="7.625" style="1"/>
    <col min="3581" max="3581" width="10.625" style="1" bestFit="1" customWidth="1"/>
    <col min="3582" max="3582" width="8.875" style="1" customWidth="1"/>
    <col min="3583" max="3585" width="8.125" style="1" bestFit="1" customWidth="1"/>
    <col min="3586" max="3586" width="9.125" style="1" bestFit="1" customWidth="1"/>
    <col min="3587" max="3834" width="7.625" style="1"/>
    <col min="3835" max="3835" width="40.5" style="1" customWidth="1"/>
    <col min="3836" max="3836" width="7.625" style="1"/>
    <col min="3837" max="3837" width="10.625" style="1" bestFit="1" customWidth="1"/>
    <col min="3838" max="3838" width="8.875" style="1" customWidth="1"/>
    <col min="3839" max="3841" width="8.125" style="1" bestFit="1" customWidth="1"/>
    <col min="3842" max="3842" width="9.125" style="1" bestFit="1" customWidth="1"/>
    <col min="3843" max="4090" width="7.625" style="1"/>
    <col min="4091" max="4091" width="40.5" style="1" customWidth="1"/>
    <col min="4092" max="4092" width="7.625" style="1"/>
    <col min="4093" max="4093" width="10.625" style="1" bestFit="1" customWidth="1"/>
    <col min="4094" max="4094" width="8.875" style="1" customWidth="1"/>
    <col min="4095" max="4097" width="8.125" style="1" bestFit="1" customWidth="1"/>
    <col min="4098" max="4098" width="9.125" style="1" bestFit="1" customWidth="1"/>
    <col min="4099" max="4346" width="7.625" style="1"/>
    <col min="4347" max="4347" width="40.5" style="1" customWidth="1"/>
    <col min="4348" max="4348" width="7.625" style="1"/>
    <col min="4349" max="4349" width="10.625" style="1" bestFit="1" customWidth="1"/>
    <col min="4350" max="4350" width="8.875" style="1" customWidth="1"/>
    <col min="4351" max="4353" width="8.125" style="1" bestFit="1" customWidth="1"/>
    <col min="4354" max="4354" width="9.125" style="1" bestFit="1" customWidth="1"/>
    <col min="4355" max="4602" width="7.625" style="1"/>
    <col min="4603" max="4603" width="40.5" style="1" customWidth="1"/>
    <col min="4604" max="4604" width="7.625" style="1"/>
    <col min="4605" max="4605" width="10.625" style="1" bestFit="1" customWidth="1"/>
    <col min="4606" max="4606" width="8.875" style="1" customWidth="1"/>
    <col min="4607" max="4609" width="8.125" style="1" bestFit="1" customWidth="1"/>
    <col min="4610" max="4610" width="9.125" style="1" bestFit="1" customWidth="1"/>
    <col min="4611" max="4858" width="7.625" style="1"/>
    <col min="4859" max="4859" width="40.5" style="1" customWidth="1"/>
    <col min="4860" max="4860" width="7.625" style="1"/>
    <col min="4861" max="4861" width="10.625" style="1" bestFit="1" customWidth="1"/>
    <col min="4862" max="4862" width="8.875" style="1" customWidth="1"/>
    <col min="4863" max="4865" width="8.125" style="1" bestFit="1" customWidth="1"/>
    <col min="4866" max="4866" width="9.125" style="1" bestFit="1" customWidth="1"/>
    <col min="4867" max="5114" width="7.625" style="1"/>
    <col min="5115" max="5115" width="40.5" style="1" customWidth="1"/>
    <col min="5116" max="5116" width="7.625" style="1"/>
    <col min="5117" max="5117" width="10.625" style="1" bestFit="1" customWidth="1"/>
    <col min="5118" max="5118" width="8.875" style="1" customWidth="1"/>
    <col min="5119" max="5121" width="8.125" style="1" bestFit="1" customWidth="1"/>
    <col min="5122" max="5122" width="9.125" style="1" bestFit="1" customWidth="1"/>
    <col min="5123" max="5370" width="7.625" style="1"/>
    <col min="5371" max="5371" width="40.5" style="1" customWidth="1"/>
    <col min="5372" max="5372" width="7.625" style="1"/>
    <col min="5373" max="5373" width="10.625" style="1" bestFit="1" customWidth="1"/>
    <col min="5374" max="5374" width="8.875" style="1" customWidth="1"/>
    <col min="5375" max="5377" width="8.125" style="1" bestFit="1" customWidth="1"/>
    <col min="5378" max="5378" width="9.125" style="1" bestFit="1" customWidth="1"/>
    <col min="5379" max="5626" width="7.625" style="1"/>
    <col min="5627" max="5627" width="40.5" style="1" customWidth="1"/>
    <col min="5628" max="5628" width="7.625" style="1"/>
    <col min="5629" max="5629" width="10.625" style="1" bestFit="1" customWidth="1"/>
    <col min="5630" max="5630" width="8.875" style="1" customWidth="1"/>
    <col min="5631" max="5633" width="8.125" style="1" bestFit="1" customWidth="1"/>
    <col min="5634" max="5634" width="9.125" style="1" bestFit="1" customWidth="1"/>
    <col min="5635" max="5882" width="7.625" style="1"/>
    <col min="5883" max="5883" width="40.5" style="1" customWidth="1"/>
    <col min="5884" max="5884" width="7.625" style="1"/>
    <col min="5885" max="5885" width="10.625" style="1" bestFit="1" customWidth="1"/>
    <col min="5886" max="5886" width="8.875" style="1" customWidth="1"/>
    <col min="5887" max="5889" width="8.125" style="1" bestFit="1" customWidth="1"/>
    <col min="5890" max="5890" width="9.125" style="1" bestFit="1" customWidth="1"/>
    <col min="5891" max="6138" width="7.625" style="1"/>
    <col min="6139" max="6139" width="40.5" style="1" customWidth="1"/>
    <col min="6140" max="6140" width="7.625" style="1"/>
    <col min="6141" max="6141" width="10.625" style="1" bestFit="1" customWidth="1"/>
    <col min="6142" max="6142" width="8.875" style="1" customWidth="1"/>
    <col min="6143" max="6145" width="8.125" style="1" bestFit="1" customWidth="1"/>
    <col min="6146" max="6146" width="9.125" style="1" bestFit="1" customWidth="1"/>
    <col min="6147" max="6394" width="7.625" style="1"/>
    <col min="6395" max="6395" width="40.5" style="1" customWidth="1"/>
    <col min="6396" max="6396" width="7.625" style="1"/>
    <col min="6397" max="6397" width="10.625" style="1" bestFit="1" customWidth="1"/>
    <col min="6398" max="6398" width="8.875" style="1" customWidth="1"/>
    <col min="6399" max="6401" width="8.125" style="1" bestFit="1" customWidth="1"/>
    <col min="6402" max="6402" width="9.125" style="1" bestFit="1" customWidth="1"/>
    <col min="6403" max="6650" width="7.625" style="1"/>
    <col min="6651" max="6651" width="40.5" style="1" customWidth="1"/>
    <col min="6652" max="6652" width="7.625" style="1"/>
    <col min="6653" max="6653" width="10.625" style="1" bestFit="1" customWidth="1"/>
    <col min="6654" max="6654" width="8.875" style="1" customWidth="1"/>
    <col min="6655" max="6657" width="8.125" style="1" bestFit="1" customWidth="1"/>
    <col min="6658" max="6658" width="9.125" style="1" bestFit="1" customWidth="1"/>
    <col min="6659" max="6906" width="7.625" style="1"/>
    <col min="6907" max="6907" width="40.5" style="1" customWidth="1"/>
    <col min="6908" max="6908" width="7.625" style="1"/>
    <col min="6909" max="6909" width="10.625" style="1" bestFit="1" customWidth="1"/>
    <col min="6910" max="6910" width="8.875" style="1" customWidth="1"/>
    <col min="6911" max="6913" width="8.125" style="1" bestFit="1" customWidth="1"/>
    <col min="6914" max="6914" width="9.125" style="1" bestFit="1" customWidth="1"/>
    <col min="6915" max="7162" width="7.625" style="1"/>
    <col min="7163" max="7163" width="40.5" style="1" customWidth="1"/>
    <col min="7164" max="7164" width="7.625" style="1"/>
    <col min="7165" max="7165" width="10.625" style="1" bestFit="1" customWidth="1"/>
    <col min="7166" max="7166" width="8.875" style="1" customWidth="1"/>
    <col min="7167" max="7169" width="8.125" style="1" bestFit="1" customWidth="1"/>
    <col min="7170" max="7170" width="9.125" style="1" bestFit="1" customWidth="1"/>
    <col min="7171" max="7418" width="7.625" style="1"/>
    <col min="7419" max="7419" width="40.5" style="1" customWidth="1"/>
    <col min="7420" max="7420" width="7.625" style="1"/>
    <col min="7421" max="7421" width="10.625" style="1" bestFit="1" customWidth="1"/>
    <col min="7422" max="7422" width="8.875" style="1" customWidth="1"/>
    <col min="7423" max="7425" width="8.125" style="1" bestFit="1" customWidth="1"/>
    <col min="7426" max="7426" width="9.125" style="1" bestFit="1" customWidth="1"/>
    <col min="7427" max="7674" width="7.625" style="1"/>
    <col min="7675" max="7675" width="40.5" style="1" customWidth="1"/>
    <col min="7676" max="7676" width="7.625" style="1"/>
    <col min="7677" max="7677" width="10.625" style="1" bestFit="1" customWidth="1"/>
    <col min="7678" max="7678" width="8.875" style="1" customWidth="1"/>
    <col min="7679" max="7681" width="8.125" style="1" bestFit="1" customWidth="1"/>
    <col min="7682" max="7682" width="9.125" style="1" bestFit="1" customWidth="1"/>
    <col min="7683" max="7930" width="7.625" style="1"/>
    <col min="7931" max="7931" width="40.5" style="1" customWidth="1"/>
    <col min="7932" max="7932" width="7.625" style="1"/>
    <col min="7933" max="7933" width="10.625" style="1" bestFit="1" customWidth="1"/>
    <col min="7934" max="7934" width="8.875" style="1" customWidth="1"/>
    <col min="7935" max="7937" width="8.125" style="1" bestFit="1" customWidth="1"/>
    <col min="7938" max="7938" width="9.125" style="1" bestFit="1" customWidth="1"/>
    <col min="7939" max="8186" width="7.625" style="1"/>
    <col min="8187" max="8187" width="40.5" style="1" customWidth="1"/>
    <col min="8188" max="8188" width="7.625" style="1"/>
    <col min="8189" max="8189" width="10.625" style="1" bestFit="1" customWidth="1"/>
    <col min="8190" max="8190" width="8.875" style="1" customWidth="1"/>
    <col min="8191" max="8193" width="8.125" style="1" bestFit="1" customWidth="1"/>
    <col min="8194" max="8194" width="9.125" style="1" bestFit="1" customWidth="1"/>
    <col min="8195" max="8442" width="7.625" style="1"/>
    <col min="8443" max="8443" width="40.5" style="1" customWidth="1"/>
    <col min="8444" max="8444" width="7.625" style="1"/>
    <col min="8445" max="8445" width="10.625" style="1" bestFit="1" customWidth="1"/>
    <col min="8446" max="8446" width="8.875" style="1" customWidth="1"/>
    <col min="8447" max="8449" width="8.125" style="1" bestFit="1" customWidth="1"/>
    <col min="8450" max="8450" width="9.125" style="1" bestFit="1" customWidth="1"/>
    <col min="8451" max="8698" width="7.625" style="1"/>
    <col min="8699" max="8699" width="40.5" style="1" customWidth="1"/>
    <col min="8700" max="8700" width="7.625" style="1"/>
    <col min="8701" max="8701" width="10.625" style="1" bestFit="1" customWidth="1"/>
    <col min="8702" max="8702" width="8.875" style="1" customWidth="1"/>
    <col min="8703" max="8705" width="8.125" style="1" bestFit="1" customWidth="1"/>
    <col min="8706" max="8706" width="9.125" style="1" bestFit="1" customWidth="1"/>
    <col min="8707" max="8954" width="7.625" style="1"/>
    <col min="8955" max="8955" width="40.5" style="1" customWidth="1"/>
    <col min="8956" max="8956" width="7.625" style="1"/>
    <col min="8957" max="8957" width="10.625" style="1" bestFit="1" customWidth="1"/>
    <col min="8958" max="8958" width="8.875" style="1" customWidth="1"/>
    <col min="8959" max="8961" width="8.125" style="1" bestFit="1" customWidth="1"/>
    <col min="8962" max="8962" width="9.125" style="1" bestFit="1" customWidth="1"/>
    <col min="8963" max="9210" width="7.625" style="1"/>
    <col min="9211" max="9211" width="40.5" style="1" customWidth="1"/>
    <col min="9212" max="9212" width="7.625" style="1"/>
    <col min="9213" max="9213" width="10.625" style="1" bestFit="1" customWidth="1"/>
    <col min="9214" max="9214" width="8.875" style="1" customWidth="1"/>
    <col min="9215" max="9217" width="8.125" style="1" bestFit="1" customWidth="1"/>
    <col min="9218" max="9218" width="9.125" style="1" bestFit="1" customWidth="1"/>
    <col min="9219" max="9466" width="7.625" style="1"/>
    <col min="9467" max="9467" width="40.5" style="1" customWidth="1"/>
    <col min="9468" max="9468" width="7.625" style="1"/>
    <col min="9469" max="9469" width="10.625" style="1" bestFit="1" customWidth="1"/>
    <col min="9470" max="9470" width="8.875" style="1" customWidth="1"/>
    <col min="9471" max="9473" width="8.125" style="1" bestFit="1" customWidth="1"/>
    <col min="9474" max="9474" width="9.125" style="1" bestFit="1" customWidth="1"/>
    <col min="9475" max="9722" width="7.625" style="1"/>
    <col min="9723" max="9723" width="40.5" style="1" customWidth="1"/>
    <col min="9724" max="9724" width="7.625" style="1"/>
    <col min="9725" max="9725" width="10.625" style="1" bestFit="1" customWidth="1"/>
    <col min="9726" max="9726" width="8.875" style="1" customWidth="1"/>
    <col min="9727" max="9729" width="8.125" style="1" bestFit="1" customWidth="1"/>
    <col min="9730" max="9730" width="9.125" style="1" bestFit="1" customWidth="1"/>
    <col min="9731" max="9978" width="7.625" style="1"/>
    <col min="9979" max="9979" width="40.5" style="1" customWidth="1"/>
    <col min="9980" max="9980" width="7.625" style="1"/>
    <col min="9981" max="9981" width="10.625" style="1" bestFit="1" customWidth="1"/>
    <col min="9982" max="9982" width="8.875" style="1" customWidth="1"/>
    <col min="9983" max="9985" width="8.125" style="1" bestFit="1" customWidth="1"/>
    <col min="9986" max="9986" width="9.125" style="1" bestFit="1" customWidth="1"/>
    <col min="9987" max="10234" width="7.625" style="1"/>
    <col min="10235" max="10235" width="40.5" style="1" customWidth="1"/>
    <col min="10236" max="10236" width="7.625" style="1"/>
    <col min="10237" max="10237" width="10.625" style="1" bestFit="1" customWidth="1"/>
    <col min="10238" max="10238" width="8.875" style="1" customWidth="1"/>
    <col min="10239" max="10241" width="8.125" style="1" bestFit="1" customWidth="1"/>
    <col min="10242" max="10242" width="9.125" style="1" bestFit="1" customWidth="1"/>
    <col min="10243" max="10490" width="7.625" style="1"/>
    <col min="10491" max="10491" width="40.5" style="1" customWidth="1"/>
    <col min="10492" max="10492" width="7.625" style="1"/>
    <col min="10493" max="10493" width="10.625" style="1" bestFit="1" customWidth="1"/>
    <col min="10494" max="10494" width="8.875" style="1" customWidth="1"/>
    <col min="10495" max="10497" width="8.125" style="1" bestFit="1" customWidth="1"/>
    <col min="10498" max="10498" width="9.125" style="1" bestFit="1" customWidth="1"/>
    <col min="10499" max="10746" width="7.625" style="1"/>
    <col min="10747" max="10747" width="40.5" style="1" customWidth="1"/>
    <col min="10748" max="10748" width="7.625" style="1"/>
    <col min="10749" max="10749" width="10.625" style="1" bestFit="1" customWidth="1"/>
    <col min="10750" max="10750" width="8.875" style="1" customWidth="1"/>
    <col min="10751" max="10753" width="8.125" style="1" bestFit="1" customWidth="1"/>
    <col min="10754" max="10754" width="9.125" style="1" bestFit="1" customWidth="1"/>
    <col min="10755" max="11002" width="7.625" style="1"/>
    <col min="11003" max="11003" width="40.5" style="1" customWidth="1"/>
    <col min="11004" max="11004" width="7.625" style="1"/>
    <col min="11005" max="11005" width="10.625" style="1" bestFit="1" customWidth="1"/>
    <col min="11006" max="11006" width="8.875" style="1" customWidth="1"/>
    <col min="11007" max="11009" width="8.125" style="1" bestFit="1" customWidth="1"/>
    <col min="11010" max="11010" width="9.125" style="1" bestFit="1" customWidth="1"/>
    <col min="11011" max="11258" width="7.625" style="1"/>
    <col min="11259" max="11259" width="40.5" style="1" customWidth="1"/>
    <col min="11260" max="11260" width="7.625" style="1"/>
    <col min="11261" max="11261" width="10.625" style="1" bestFit="1" customWidth="1"/>
    <col min="11262" max="11262" width="8.875" style="1" customWidth="1"/>
    <col min="11263" max="11265" width="8.125" style="1" bestFit="1" customWidth="1"/>
    <col min="11266" max="11266" width="9.125" style="1" bestFit="1" customWidth="1"/>
    <col min="11267" max="11514" width="7.625" style="1"/>
    <col min="11515" max="11515" width="40.5" style="1" customWidth="1"/>
    <col min="11516" max="11516" width="7.625" style="1"/>
    <col min="11517" max="11517" width="10.625" style="1" bestFit="1" customWidth="1"/>
    <col min="11518" max="11518" width="8.875" style="1" customWidth="1"/>
    <col min="11519" max="11521" width="8.125" style="1" bestFit="1" customWidth="1"/>
    <col min="11522" max="11522" width="9.125" style="1" bestFit="1" customWidth="1"/>
    <col min="11523" max="11770" width="7.625" style="1"/>
    <col min="11771" max="11771" width="40.5" style="1" customWidth="1"/>
    <col min="11772" max="11772" width="7.625" style="1"/>
    <col min="11773" max="11773" width="10.625" style="1" bestFit="1" customWidth="1"/>
    <col min="11774" max="11774" width="8.875" style="1" customWidth="1"/>
    <col min="11775" max="11777" width="8.125" style="1" bestFit="1" customWidth="1"/>
    <col min="11778" max="11778" width="9.125" style="1" bestFit="1" customWidth="1"/>
    <col min="11779" max="12026" width="7.625" style="1"/>
    <col min="12027" max="12027" width="40.5" style="1" customWidth="1"/>
    <col min="12028" max="12028" width="7.625" style="1"/>
    <col min="12029" max="12029" width="10.625" style="1" bestFit="1" customWidth="1"/>
    <col min="12030" max="12030" width="8.875" style="1" customWidth="1"/>
    <col min="12031" max="12033" width="8.125" style="1" bestFit="1" customWidth="1"/>
    <col min="12034" max="12034" width="9.125" style="1" bestFit="1" customWidth="1"/>
    <col min="12035" max="12282" width="7.625" style="1"/>
    <col min="12283" max="12283" width="40.5" style="1" customWidth="1"/>
    <col min="12284" max="12284" width="7.625" style="1"/>
    <col min="12285" max="12285" width="10.625" style="1" bestFit="1" customWidth="1"/>
    <col min="12286" max="12286" width="8.875" style="1" customWidth="1"/>
    <col min="12287" max="12289" width="8.125" style="1" bestFit="1" customWidth="1"/>
    <col min="12290" max="12290" width="9.125" style="1" bestFit="1" customWidth="1"/>
    <col min="12291" max="12538" width="7.625" style="1"/>
    <col min="12539" max="12539" width="40.5" style="1" customWidth="1"/>
    <col min="12540" max="12540" width="7.625" style="1"/>
    <col min="12541" max="12541" width="10.625" style="1" bestFit="1" customWidth="1"/>
    <col min="12542" max="12542" width="8.875" style="1" customWidth="1"/>
    <col min="12543" max="12545" width="8.125" style="1" bestFit="1" customWidth="1"/>
    <col min="12546" max="12546" width="9.125" style="1" bestFit="1" customWidth="1"/>
    <col min="12547" max="12794" width="7.625" style="1"/>
    <col min="12795" max="12795" width="40.5" style="1" customWidth="1"/>
    <col min="12796" max="12796" width="7.625" style="1"/>
    <col min="12797" max="12797" width="10.625" style="1" bestFit="1" customWidth="1"/>
    <col min="12798" max="12798" width="8.875" style="1" customWidth="1"/>
    <col min="12799" max="12801" width="8.125" style="1" bestFit="1" customWidth="1"/>
    <col min="12802" max="12802" width="9.125" style="1" bestFit="1" customWidth="1"/>
    <col min="12803" max="13050" width="7.625" style="1"/>
    <col min="13051" max="13051" width="40.5" style="1" customWidth="1"/>
    <col min="13052" max="13052" width="7.625" style="1"/>
    <col min="13053" max="13053" width="10.625" style="1" bestFit="1" customWidth="1"/>
    <col min="13054" max="13054" width="8.875" style="1" customWidth="1"/>
    <col min="13055" max="13057" width="8.125" style="1" bestFit="1" customWidth="1"/>
    <col min="13058" max="13058" width="9.125" style="1" bestFit="1" customWidth="1"/>
    <col min="13059" max="13306" width="7.625" style="1"/>
    <col min="13307" max="13307" width="40.5" style="1" customWidth="1"/>
    <col min="13308" max="13308" width="7.625" style="1"/>
    <col min="13309" max="13309" width="10.625" style="1" bestFit="1" customWidth="1"/>
    <col min="13310" max="13310" width="8.875" style="1" customWidth="1"/>
    <col min="13311" max="13313" width="8.125" style="1" bestFit="1" customWidth="1"/>
    <col min="13314" max="13314" width="9.125" style="1" bestFit="1" customWidth="1"/>
    <col min="13315" max="13562" width="7.625" style="1"/>
    <col min="13563" max="13563" width="40.5" style="1" customWidth="1"/>
    <col min="13564" max="13564" width="7.625" style="1"/>
    <col min="13565" max="13565" width="10.625" style="1" bestFit="1" customWidth="1"/>
    <col min="13566" max="13566" width="8.875" style="1" customWidth="1"/>
    <col min="13567" max="13569" width="8.125" style="1" bestFit="1" customWidth="1"/>
    <col min="13570" max="13570" width="9.125" style="1" bestFit="1" customWidth="1"/>
    <col min="13571" max="13818" width="7.625" style="1"/>
    <col min="13819" max="13819" width="40.5" style="1" customWidth="1"/>
    <col min="13820" max="13820" width="7.625" style="1"/>
    <col min="13821" max="13821" width="10.625" style="1" bestFit="1" customWidth="1"/>
    <col min="13822" max="13822" width="8.875" style="1" customWidth="1"/>
    <col min="13823" max="13825" width="8.125" style="1" bestFit="1" customWidth="1"/>
    <col min="13826" max="13826" width="9.125" style="1" bestFit="1" customWidth="1"/>
    <col min="13827" max="14074" width="7.625" style="1"/>
    <col min="14075" max="14075" width="40.5" style="1" customWidth="1"/>
    <col min="14076" max="14076" width="7.625" style="1"/>
    <col min="14077" max="14077" width="10.625" style="1" bestFit="1" customWidth="1"/>
    <col min="14078" max="14078" width="8.875" style="1" customWidth="1"/>
    <col min="14079" max="14081" width="8.125" style="1" bestFit="1" customWidth="1"/>
    <col min="14082" max="14082" width="9.125" style="1" bestFit="1" customWidth="1"/>
    <col min="14083" max="14330" width="7.625" style="1"/>
    <col min="14331" max="14331" width="40.5" style="1" customWidth="1"/>
    <col min="14332" max="14332" width="7.625" style="1"/>
    <col min="14333" max="14333" width="10.625" style="1" bestFit="1" customWidth="1"/>
    <col min="14334" max="14334" width="8.875" style="1" customWidth="1"/>
    <col min="14335" max="14337" width="8.125" style="1" bestFit="1" customWidth="1"/>
    <col min="14338" max="14338" width="9.125" style="1" bestFit="1" customWidth="1"/>
    <col min="14339" max="14586" width="7.625" style="1"/>
    <col min="14587" max="14587" width="40.5" style="1" customWidth="1"/>
    <col min="14588" max="14588" width="7.625" style="1"/>
    <col min="14589" max="14589" width="10.625" style="1" bestFit="1" customWidth="1"/>
    <col min="14590" max="14590" width="8.875" style="1" customWidth="1"/>
    <col min="14591" max="14593" width="8.125" style="1" bestFit="1" customWidth="1"/>
    <col min="14594" max="14594" width="9.125" style="1" bestFit="1" customWidth="1"/>
    <col min="14595" max="14842" width="7.625" style="1"/>
    <col min="14843" max="14843" width="40.5" style="1" customWidth="1"/>
    <col min="14844" max="14844" width="7.625" style="1"/>
    <col min="14845" max="14845" width="10.625" style="1" bestFit="1" customWidth="1"/>
    <col min="14846" max="14846" width="8.875" style="1" customWidth="1"/>
    <col min="14847" max="14849" width="8.125" style="1" bestFit="1" customWidth="1"/>
    <col min="14850" max="14850" width="9.125" style="1" bestFit="1" customWidth="1"/>
    <col min="14851" max="15098" width="7.625" style="1"/>
    <col min="15099" max="15099" width="40.5" style="1" customWidth="1"/>
    <col min="15100" max="15100" width="7.625" style="1"/>
    <col min="15101" max="15101" width="10.625" style="1" bestFit="1" customWidth="1"/>
    <col min="15102" max="15102" width="8.875" style="1" customWidth="1"/>
    <col min="15103" max="15105" width="8.125" style="1" bestFit="1" customWidth="1"/>
    <col min="15106" max="15106" width="9.125" style="1" bestFit="1" customWidth="1"/>
    <col min="15107" max="15354" width="7.625" style="1"/>
    <col min="15355" max="15355" width="40.5" style="1" customWidth="1"/>
    <col min="15356" max="15356" width="7.625" style="1"/>
    <col min="15357" max="15357" width="10.625" style="1" bestFit="1" customWidth="1"/>
    <col min="15358" max="15358" width="8.875" style="1" customWidth="1"/>
    <col min="15359" max="15361" width="8.125" style="1" bestFit="1" customWidth="1"/>
    <col min="15362" max="15362" width="9.125" style="1" bestFit="1" customWidth="1"/>
    <col min="15363" max="15610" width="7.625" style="1"/>
    <col min="15611" max="15611" width="40.5" style="1" customWidth="1"/>
    <col min="15612" max="15612" width="7.625" style="1"/>
    <col min="15613" max="15613" width="10.625" style="1" bestFit="1" customWidth="1"/>
    <col min="15614" max="15614" width="8.875" style="1" customWidth="1"/>
    <col min="15615" max="15617" width="8.125" style="1" bestFit="1" customWidth="1"/>
    <col min="15618" max="15618" width="9.125" style="1" bestFit="1" customWidth="1"/>
    <col min="15619" max="15866" width="7.625" style="1"/>
    <col min="15867" max="15867" width="40.5" style="1" customWidth="1"/>
    <col min="15868" max="15868" width="7.625" style="1"/>
    <col min="15869" max="15869" width="10.625" style="1" bestFit="1" customWidth="1"/>
    <col min="15870" max="15870" width="8.875" style="1" customWidth="1"/>
    <col min="15871" max="15873" width="8.125" style="1" bestFit="1" customWidth="1"/>
    <col min="15874" max="15874" width="9.125" style="1" bestFit="1" customWidth="1"/>
    <col min="15875" max="16122" width="7.625" style="1"/>
    <col min="16123" max="16123" width="40.5" style="1" customWidth="1"/>
    <col min="16124" max="16124" width="7.625" style="1"/>
    <col min="16125" max="16125" width="10.625" style="1" bestFit="1" customWidth="1"/>
    <col min="16126" max="16126" width="8.875" style="1" customWidth="1"/>
    <col min="16127" max="16129" width="8.125" style="1" bestFit="1" customWidth="1"/>
    <col min="16130" max="16130" width="9.125" style="1" bestFit="1" customWidth="1"/>
    <col min="16131" max="16384" width="7.625" style="1"/>
  </cols>
  <sheetData>
    <row r="1" spans="1:15" ht="24" customHeight="1" x14ac:dyDescent="0.25">
      <c r="C1" s="312" t="s">
        <v>414</v>
      </c>
      <c r="D1" s="313"/>
      <c r="E1" s="314">
        <f>IF(CenaCloudIaaSRok&lt;&gt;0,'3. Vstupní data cloud'!B5,IF('3. Vstupní data cloud'!F6&lt;&gt;0,'3. Vstupní data cloud'!B6,IF('3. Vstupní data cloud'!F7&lt;&gt;0,'3. Vstupní data cloud'!B7,0)))</f>
        <v>0</v>
      </c>
      <c r="F1" s="314"/>
      <c r="G1" s="315"/>
    </row>
    <row r="2" spans="1:15" ht="6.75" customHeight="1" x14ac:dyDescent="0.25">
      <c r="C2" s="312"/>
      <c r="D2" s="313"/>
      <c r="E2" s="314"/>
      <c r="F2" s="314"/>
      <c r="G2" s="315"/>
    </row>
    <row r="3" spans="1:15" ht="19.5" thickBot="1" x14ac:dyDescent="0.3">
      <c r="C3" s="512" t="str">
        <f>_xlfn.CONCAT('1.Úvodní parametry'!B3," ",'1.Úvodní parametry'!C3)</f>
        <v>Veškeré uvedené hodnoty jsou v Kč včetně DPH</v>
      </c>
      <c r="D3" s="313"/>
      <c r="E3" s="314"/>
      <c r="F3" s="314"/>
      <c r="G3" s="315"/>
    </row>
    <row r="4" spans="1:15" ht="15.75" thickBot="1" x14ac:dyDescent="0.3">
      <c r="C4" s="197" t="s">
        <v>157</v>
      </c>
      <c r="D4" s="198"/>
      <c r="E4" s="5"/>
      <c r="F4" s="199"/>
      <c r="G4" s="199"/>
      <c r="H4" s="199"/>
      <c r="I4" s="199"/>
      <c r="J4" s="199"/>
      <c r="K4" s="317">
        <v>5</v>
      </c>
    </row>
    <row r="5" spans="1:15" s="2" customFormat="1" ht="15.75" customHeight="1" x14ac:dyDescent="0.2">
      <c r="A5" s="318"/>
      <c r="B5" s="319"/>
      <c r="C5" s="320" t="s">
        <v>125</v>
      </c>
      <c r="D5" s="320" t="s">
        <v>112</v>
      </c>
      <c r="E5" s="321"/>
      <c r="F5" s="321"/>
      <c r="G5" s="321"/>
      <c r="H5" s="321"/>
      <c r="I5" s="321"/>
      <c r="J5" s="322">
        <f>J113</f>
        <v>0</v>
      </c>
      <c r="K5" s="320"/>
      <c r="L5" s="318"/>
      <c r="M5" s="318"/>
      <c r="N5" s="318"/>
      <c r="O5" s="318"/>
    </row>
    <row r="6" spans="1:15" s="2" customFormat="1" ht="15.75" customHeight="1" thickBot="1" x14ac:dyDescent="0.25">
      <c r="A6" s="318"/>
      <c r="B6" s="319"/>
      <c r="C6" s="320" t="s">
        <v>134</v>
      </c>
      <c r="D6" s="320" t="s">
        <v>112</v>
      </c>
      <c r="E6" s="321"/>
      <c r="F6" s="321"/>
      <c r="G6" s="321"/>
      <c r="H6" s="321"/>
      <c r="I6" s="321"/>
      <c r="J6" s="323">
        <f>J154</f>
        <v>0</v>
      </c>
      <c r="K6" s="320"/>
      <c r="L6" s="318"/>
      <c r="M6" s="318"/>
      <c r="N6" s="318"/>
      <c r="O6" s="318"/>
    </row>
    <row r="7" spans="1:15" s="2" customFormat="1" ht="24" customHeight="1" thickTop="1" thickBot="1" x14ac:dyDescent="0.25">
      <c r="A7" s="318"/>
      <c r="B7" s="319"/>
      <c r="C7" s="200" t="s">
        <v>135</v>
      </c>
      <c r="D7" s="200" t="s">
        <v>112</v>
      </c>
      <c r="E7" s="201"/>
      <c r="F7" s="201"/>
      <c r="G7" s="201"/>
      <c r="H7" s="201"/>
      <c r="I7" s="201"/>
      <c r="J7" s="202">
        <f>J5-J6</f>
        <v>0</v>
      </c>
      <c r="K7" s="320"/>
      <c r="L7" s="318"/>
      <c r="M7" s="318"/>
      <c r="N7" s="318"/>
      <c r="O7" s="318"/>
    </row>
    <row r="8" spans="1:15" s="2" customFormat="1" ht="24" customHeight="1" thickTop="1" thickBot="1" x14ac:dyDescent="0.25">
      <c r="A8" s="318"/>
      <c r="B8" s="319"/>
      <c r="C8" s="203"/>
      <c r="D8" s="203"/>
      <c r="E8" s="204"/>
      <c r="F8" s="204"/>
      <c r="G8" s="204"/>
      <c r="H8" s="204"/>
      <c r="I8" s="204"/>
      <c r="J8" s="205"/>
      <c r="K8" s="320"/>
      <c r="L8" s="318"/>
      <c r="M8" s="318"/>
      <c r="N8" s="318"/>
      <c r="O8" s="318"/>
    </row>
    <row r="9" spans="1:15" s="2" customFormat="1" ht="15.75" customHeight="1" thickBot="1" x14ac:dyDescent="0.25">
      <c r="A9" s="318"/>
      <c r="B9" s="319"/>
      <c r="C9" s="197" t="s">
        <v>158</v>
      </c>
      <c r="D9" s="198"/>
      <c r="E9" s="5"/>
      <c r="F9" s="199"/>
      <c r="G9" s="199"/>
      <c r="H9" s="199"/>
      <c r="I9" s="199"/>
      <c r="J9" s="199"/>
      <c r="K9" s="320"/>
      <c r="L9" s="318"/>
      <c r="M9" s="318"/>
      <c r="N9" s="318"/>
      <c r="O9" s="318"/>
    </row>
    <row r="10" spans="1:15" s="2" customFormat="1" ht="15.75" customHeight="1" x14ac:dyDescent="0.2">
      <c r="A10" s="318"/>
      <c r="B10" s="319"/>
      <c r="C10" s="320" t="s">
        <v>125</v>
      </c>
      <c r="D10" s="320" t="s">
        <v>112</v>
      </c>
      <c r="E10" s="321"/>
      <c r="F10" s="321"/>
      <c r="G10" s="321"/>
      <c r="H10" s="321"/>
      <c r="I10" s="321"/>
      <c r="J10" s="322">
        <f>CelkemNakladyOnpremise/PocetUzivatelu</f>
        <v>0</v>
      </c>
      <c r="K10" s="320"/>
      <c r="L10" s="318"/>
      <c r="M10" s="318"/>
      <c r="N10" s="318"/>
      <c r="O10" s="318"/>
    </row>
    <row r="11" spans="1:15" s="2" customFormat="1" ht="15.75" customHeight="1" thickBot="1" x14ac:dyDescent="0.25">
      <c r="A11" s="318"/>
      <c r="B11" s="319"/>
      <c r="C11" s="320" t="s">
        <v>134</v>
      </c>
      <c r="D11" s="320" t="s">
        <v>112</v>
      </c>
      <c r="E11" s="321"/>
      <c r="F11" s="321"/>
      <c r="G11" s="321"/>
      <c r="H11" s="321"/>
      <c r="I11" s="321"/>
      <c r="J11" s="323">
        <f>CelkemNakladyCloud/PocetUzivatelu</f>
        <v>0</v>
      </c>
      <c r="K11" s="320"/>
      <c r="L11" s="318"/>
      <c r="M11" s="318"/>
      <c r="N11" s="318"/>
      <c r="O11" s="318"/>
    </row>
    <row r="12" spans="1:15" s="2" customFormat="1" ht="24" customHeight="1" thickTop="1" thickBot="1" x14ac:dyDescent="0.25">
      <c r="A12" s="318"/>
      <c r="B12" s="319"/>
      <c r="C12" s="200" t="s">
        <v>135</v>
      </c>
      <c r="D12" s="200" t="s">
        <v>112</v>
      </c>
      <c r="E12" s="201"/>
      <c r="F12" s="201"/>
      <c r="G12" s="201"/>
      <c r="H12" s="201"/>
      <c r="I12" s="201"/>
      <c r="J12" s="202">
        <f>J10-J11</f>
        <v>0</v>
      </c>
      <c r="K12" s="320"/>
      <c r="L12" s="318"/>
      <c r="M12" s="318"/>
      <c r="N12" s="318"/>
      <c r="O12" s="318"/>
    </row>
    <row r="13" spans="1:15" s="2" customFormat="1" ht="24" customHeight="1" thickTop="1" thickBot="1" x14ac:dyDescent="0.25">
      <c r="A13" s="318"/>
      <c r="B13" s="319"/>
      <c r="C13" s="206"/>
      <c r="D13" s="206"/>
      <c r="E13" s="207"/>
      <c r="F13" s="207"/>
      <c r="G13" s="207"/>
      <c r="H13" s="207"/>
      <c r="I13" s="207"/>
      <c r="J13" s="208"/>
      <c r="K13" s="320"/>
      <c r="L13" s="318"/>
      <c r="M13" s="318"/>
      <c r="N13" s="318"/>
      <c r="O13" s="318"/>
    </row>
    <row r="14" spans="1:15" s="2" customFormat="1" ht="24" customHeight="1" thickBot="1" x14ac:dyDescent="0.25">
      <c r="A14" s="318"/>
      <c r="B14" s="319"/>
      <c r="C14" s="197" t="s">
        <v>380</v>
      </c>
      <c r="D14" s="198"/>
      <c r="E14" s="209" t="s">
        <v>379</v>
      </c>
      <c r="F14" s="209" t="s">
        <v>326</v>
      </c>
      <c r="G14" s="199"/>
      <c r="H14" s="199"/>
      <c r="I14" s="199"/>
      <c r="J14" s="199"/>
      <c r="K14" s="320"/>
      <c r="L14" s="318"/>
      <c r="M14" s="318"/>
      <c r="N14" s="318"/>
      <c r="O14" s="318"/>
    </row>
    <row r="15" spans="1:15" s="2" customFormat="1" ht="15.75" customHeight="1" x14ac:dyDescent="0.2">
      <c r="A15" s="318"/>
      <c r="B15" s="319"/>
      <c r="C15" s="212" t="s">
        <v>330</v>
      </c>
      <c r="D15" s="324" t="s">
        <v>392</v>
      </c>
      <c r="E15" s="325">
        <v>1</v>
      </c>
      <c r="F15" s="326"/>
      <c r="G15" s="327"/>
      <c r="H15" s="327"/>
      <c r="I15" s="327"/>
      <c r="J15" s="328">
        <f>('2. Vstupní data on-premise '!C194+'2. Vstupní data on-premise '!D194+'2. Vstupní data on-premise '!F194)/8</f>
        <v>0</v>
      </c>
      <c r="K15" s="320"/>
      <c r="L15" s="318"/>
      <c r="M15" s="318"/>
      <c r="N15" s="318"/>
      <c r="O15" s="318"/>
    </row>
    <row r="16" spans="1:15" s="2" customFormat="1" ht="15.75" customHeight="1" x14ac:dyDescent="0.2">
      <c r="A16" s="318"/>
      <c r="B16" s="319"/>
      <c r="C16" s="212" t="s">
        <v>369</v>
      </c>
      <c r="D16" s="324" t="s">
        <v>392</v>
      </c>
      <c r="E16" s="329"/>
      <c r="F16" s="325">
        <f>DelkaProjektu</f>
        <v>5</v>
      </c>
      <c r="G16" s="327"/>
      <c r="H16" s="327"/>
      <c r="I16" s="327"/>
      <c r="J16" s="328">
        <f>((('2. Vstupní data on-premise '!C188+'2. Vstupní data on-premise '!D188+'2. Vstupní data on-premise '!F188)/8)*'4. Výsledky porovnání'!F16)</f>
        <v>0</v>
      </c>
      <c r="K16" s="320"/>
      <c r="L16" s="318"/>
      <c r="M16" s="318"/>
      <c r="N16" s="318"/>
      <c r="O16" s="318"/>
    </row>
    <row r="17" spans="1:15" s="2" customFormat="1" ht="15.75" customHeight="1" x14ac:dyDescent="0.2">
      <c r="A17" s="318"/>
      <c r="B17" s="319"/>
      <c r="C17" s="212" t="s">
        <v>371</v>
      </c>
      <c r="D17" s="324" t="s">
        <v>392</v>
      </c>
      <c r="E17" s="325">
        <v>1</v>
      </c>
      <c r="F17" s="326"/>
      <c r="G17" s="327"/>
      <c r="H17" s="327"/>
      <c r="I17" s="327"/>
      <c r="J17" s="328">
        <f>('3. Vstupní data cloud'!C99+'3. Vstupní data cloud'!D99+'3. Vstupní data cloud'!F99)/8</f>
        <v>0</v>
      </c>
      <c r="K17" s="320"/>
      <c r="L17" s="318"/>
      <c r="M17" s="318"/>
      <c r="N17" s="318"/>
      <c r="O17" s="318"/>
    </row>
    <row r="18" spans="1:15" s="2" customFormat="1" ht="15.75" customHeight="1" thickBot="1" x14ac:dyDescent="0.25">
      <c r="A18" s="318"/>
      <c r="B18" s="319"/>
      <c r="C18" s="212" t="s">
        <v>370</v>
      </c>
      <c r="D18" s="324" t="s">
        <v>392</v>
      </c>
      <c r="E18" s="329"/>
      <c r="F18" s="325">
        <f>DelkaProjektu</f>
        <v>5</v>
      </c>
      <c r="G18" s="327"/>
      <c r="H18" s="327"/>
      <c r="I18" s="327"/>
      <c r="J18" s="328">
        <f>((('3. Vstupní data cloud'!C93+'3. Vstupní data cloud'!D93+'3. Vstupní data cloud'!F93)/8)*'4. Výsledky porovnání'!F18)</f>
        <v>0</v>
      </c>
      <c r="K18" s="320"/>
      <c r="L18" s="318"/>
      <c r="M18" s="318"/>
      <c r="N18" s="318"/>
      <c r="O18" s="318"/>
    </row>
    <row r="19" spans="1:15" s="2" customFormat="1" ht="12" customHeight="1" thickTop="1" thickBot="1" x14ac:dyDescent="0.25">
      <c r="A19" s="318"/>
      <c r="B19" s="319"/>
      <c r="C19" s="330" t="s">
        <v>381</v>
      </c>
      <c r="D19" s="331" t="s">
        <v>392</v>
      </c>
      <c r="E19" s="332"/>
      <c r="F19" s="333"/>
      <c r="G19" s="334"/>
      <c r="H19" s="334"/>
      <c r="I19" s="334"/>
      <c r="J19" s="335">
        <f>J15-J17</f>
        <v>0</v>
      </c>
      <c r="K19" s="320"/>
      <c r="L19" s="318"/>
      <c r="M19" s="318"/>
      <c r="N19" s="318"/>
      <c r="O19" s="318"/>
    </row>
    <row r="20" spans="1:15" s="2" customFormat="1" ht="12" customHeight="1" thickTop="1" thickBot="1" x14ac:dyDescent="0.25">
      <c r="A20" s="318"/>
      <c r="B20" s="319"/>
      <c r="C20" s="336" t="s">
        <v>382</v>
      </c>
      <c r="D20" s="337" t="s">
        <v>392</v>
      </c>
      <c r="E20" s="338"/>
      <c r="F20" s="339"/>
      <c r="G20" s="340"/>
      <c r="H20" s="340"/>
      <c r="I20" s="340"/>
      <c r="J20" s="341">
        <f>J16-J18</f>
        <v>0</v>
      </c>
      <c r="K20" s="320"/>
      <c r="L20" s="318"/>
      <c r="M20" s="318"/>
      <c r="N20" s="318"/>
      <c r="O20" s="318"/>
    </row>
    <row r="21" spans="1:15" s="2" customFormat="1" ht="15.75" customHeight="1" thickTop="1" x14ac:dyDescent="0.2">
      <c r="A21" s="318"/>
      <c r="B21" s="319"/>
      <c r="C21" s="342"/>
      <c r="D21" s="343"/>
      <c r="E21" s="344"/>
      <c r="F21" s="345"/>
      <c r="G21" s="346"/>
      <c r="H21" s="346"/>
      <c r="I21" s="346"/>
      <c r="J21" s="347"/>
      <c r="K21" s="320"/>
      <c r="L21" s="318"/>
      <c r="M21" s="318"/>
      <c r="N21" s="318"/>
      <c r="O21" s="318"/>
    </row>
    <row r="22" spans="1:15" s="2" customFormat="1" ht="24" customHeight="1" x14ac:dyDescent="0.2">
      <c r="A22" s="318"/>
      <c r="B22" s="319"/>
      <c r="C22" s="203"/>
      <c r="D22" s="203"/>
      <c r="E22" s="204"/>
      <c r="F22" s="204"/>
      <c r="G22" s="204"/>
      <c r="H22" s="204"/>
      <c r="I22" s="204"/>
      <c r="J22" s="205"/>
      <c r="K22" s="320"/>
      <c r="L22" s="318"/>
      <c r="M22" s="318"/>
      <c r="N22" s="318"/>
      <c r="O22" s="318"/>
    </row>
    <row r="23" spans="1:15" s="2" customFormat="1" ht="201" customHeight="1" x14ac:dyDescent="0.2">
      <c r="A23" s="318"/>
      <c r="B23" s="319"/>
      <c r="C23" s="203"/>
      <c r="D23" s="203"/>
      <c r="E23" s="204"/>
      <c r="F23" s="204"/>
      <c r="G23" s="204"/>
      <c r="H23" s="204"/>
      <c r="I23" s="204"/>
      <c r="J23" s="205"/>
      <c r="K23" s="320"/>
      <c r="L23" s="318"/>
      <c r="M23" s="318"/>
      <c r="N23" s="318"/>
      <c r="O23" s="318"/>
    </row>
    <row r="24" spans="1:15" s="2" customFormat="1" ht="9.75" customHeight="1" x14ac:dyDescent="0.2">
      <c r="A24" s="318"/>
      <c r="B24" s="319"/>
      <c r="C24" s="203"/>
      <c r="D24" s="203"/>
      <c r="E24" s="204"/>
      <c r="F24" s="204"/>
      <c r="G24" s="204"/>
      <c r="H24" s="204"/>
      <c r="I24" s="204"/>
      <c r="J24" s="205"/>
      <c r="K24" s="320"/>
      <c r="L24" s="318"/>
      <c r="M24" s="318"/>
      <c r="N24" s="318"/>
      <c r="O24" s="318"/>
    </row>
    <row r="25" spans="1:15" s="2" customFormat="1" ht="257.25" customHeight="1" x14ac:dyDescent="0.2">
      <c r="A25" s="318"/>
      <c r="B25" s="319"/>
      <c r="C25" s="203"/>
      <c r="D25" s="203"/>
      <c r="E25" s="204"/>
      <c r="F25" s="204"/>
      <c r="G25" s="204"/>
      <c r="H25" s="204"/>
      <c r="I25" s="204"/>
      <c r="J25" s="205"/>
      <c r="K25" s="320"/>
      <c r="L25" s="318"/>
      <c r="M25" s="318"/>
      <c r="N25" s="318"/>
      <c r="O25" s="318"/>
    </row>
    <row r="26" spans="1:15" s="2" customFormat="1" ht="12" customHeight="1" x14ac:dyDescent="0.2">
      <c r="A26" s="318"/>
      <c r="B26" s="348"/>
      <c r="C26" s="203"/>
      <c r="D26" s="203"/>
      <c r="E26" s="204"/>
      <c r="F26" s="204"/>
      <c r="G26" s="204"/>
      <c r="H26" s="204"/>
      <c r="I26" s="204"/>
      <c r="J26" s="205"/>
      <c r="K26" s="320"/>
      <c r="L26" s="318"/>
      <c r="M26" s="318"/>
      <c r="N26" s="318"/>
      <c r="O26" s="318"/>
    </row>
    <row r="27" spans="1:15" ht="28.5" customHeight="1" thickBot="1" x14ac:dyDescent="0.3">
      <c r="B27" s="210"/>
      <c r="C27" s="210" t="s">
        <v>130</v>
      </c>
      <c r="D27" s="196"/>
      <c r="E27" s="211" t="s">
        <v>3</v>
      </c>
      <c r="F27" s="211" t="s">
        <v>4</v>
      </c>
      <c r="G27" s="211" t="s">
        <v>5</v>
      </c>
      <c r="H27" s="211" t="s">
        <v>6</v>
      </c>
      <c r="I27" s="211" t="s">
        <v>7</v>
      </c>
      <c r="J27" s="211" t="s">
        <v>8</v>
      </c>
    </row>
    <row r="28" spans="1:15" x14ac:dyDescent="0.25">
      <c r="B28" s="349" t="s">
        <v>17</v>
      </c>
      <c r="C28" s="350" t="s">
        <v>18</v>
      </c>
      <c r="D28" s="350" t="s">
        <v>112</v>
      </c>
      <c r="E28" s="351">
        <f>SUM(E29:E30)</f>
        <v>0</v>
      </c>
      <c r="F28" s="351">
        <f t="shared" ref="F28:G28" si="0">SUM(F29:F30)</f>
        <v>0</v>
      </c>
      <c r="G28" s="351">
        <f t="shared" si="0"/>
        <v>0</v>
      </c>
      <c r="H28" s="351">
        <f>SUM(H29:H30)</f>
        <v>0</v>
      </c>
      <c r="I28" s="351">
        <f>SUM(I29:I30)</f>
        <v>0</v>
      </c>
      <c r="J28" s="351">
        <f>SUM(E28:I28)</f>
        <v>0</v>
      </c>
    </row>
    <row r="29" spans="1:15" x14ac:dyDescent="0.25">
      <c r="B29" s="352" t="s">
        <v>9</v>
      </c>
      <c r="C29" s="353" t="s">
        <v>11</v>
      </c>
      <c r="D29" s="354" t="s">
        <v>112</v>
      </c>
      <c r="E29" s="355">
        <f>IF('2. Vstupní data on-premise '!$D$154="ANO",'2. Vstupní data on-premise '!$E$148*'2. Vstupní data on-premise '!$F$148+'2. Vstupní data on-premise '!$F$149,IF('2. Vstupní data on-premise '!$D$154="NE",IF(DelkaProjektu=1,('2. Vstupní data on-premise '!$E$148*'2. Vstupní data on-premise '!$F$148+'2. Vstupní data on-premise '!$F$149)/DelkaProjektu,IF(DelkaProjektu=2,('2. Vstupní data on-premise '!$E$148*'2. Vstupní data on-premise '!$F$148+'2. Vstupní data on-premise '!$F$149)/DelkaProjektu,IF(DelkaProjektu=3,('2. Vstupní data on-premise '!$E$148*'2. Vstupní data on-premise '!$F$148+'2. Vstupní data on-premise '!$F$149)/DelkaProjektu,IF(DelkaProjektu=4,('2. Vstupní data on-premise '!$E$148*'2. Vstupní data on-premise '!$F$148+'2. Vstupní data on-premise '!$F$149)/DelkaProjektu,IF(DelkaProjektu=5,('2. Vstupní data on-premise '!$E$148*'2. Vstupní data on-premise '!$F$148+'2. Vstupní data on-premise '!$F$149)/DelkaProjektu)))))))</f>
        <v>0</v>
      </c>
      <c r="F29" s="356">
        <f>IF('2. Vstupní data on-premise '!$D$154="ANO",0,IF('2. Vstupní data on-premise '!$D$154="NE",IF(DelkaProjektu=1,0,IF(DelkaProjektu=2,('2. Vstupní data on-premise '!$E$148*'2. Vstupní data on-premise '!$F$148+'2. Vstupní data on-premise '!$F$149)/DelkaProjektu,IF(DelkaProjektu=3,('2. Vstupní data on-premise '!$E$148*'2. Vstupní data on-premise '!$F$148+'2. Vstupní data on-premise '!$F$149)/DelkaProjektu,IF(DelkaProjektu=4,('2. Vstupní data on-premise '!$E$148*'2. Vstupní data on-premise '!$F$148+'2. Vstupní data on-premise '!$F$149)/DelkaProjektu,IF(DelkaProjektu=5,('2. Vstupní data on-premise '!$E$148*'2. Vstupní data on-premise '!$F$148+'2. Vstupní data on-premise '!$F$149)/DelkaProjektu)))))))</f>
        <v>0</v>
      </c>
      <c r="G29" s="356">
        <f>IF('2. Vstupní data on-premise '!$D$154="ANO",0,IF('2. Vstupní data on-premise '!$D$154="NE",IF(DelkaProjektu=1,0,IF(DelkaProjektu=2,0,IF(DelkaProjektu=3,('2. Vstupní data on-premise '!$E$148*'2. Vstupní data on-premise '!$F$148+'2. Vstupní data on-premise '!$F$149)/DelkaProjektu,IF(DelkaProjektu=4,('2. Vstupní data on-premise '!$E$148*'2. Vstupní data on-premise '!$F$148+'2. Vstupní data on-premise '!$F$149)/DelkaProjektu,IF(DelkaProjektu=5,('2. Vstupní data on-premise '!$E$148*'2. Vstupní data on-premise '!$F$148+'2. Vstupní data on-premise '!$F$149)/DelkaProjektu)))))))</f>
        <v>0</v>
      </c>
      <c r="H29" s="356">
        <f>IF('2. Vstupní data on-premise '!$D$154="ANO",0,IF('2. Vstupní data on-premise '!$D$154="NE",IF(DelkaProjektu=1,0,IF(DelkaProjektu=2,0,IF(DelkaProjektu=3,0,IF(DelkaProjektu=4,('2. Vstupní data on-premise '!$E$148*'2. Vstupní data on-premise '!$F$148+'2. Vstupní data on-premise '!$F$149)/DelkaProjektu,IF(DelkaProjektu=5,('2. Vstupní data on-premise '!$E$148*'2. Vstupní data on-premise '!$F$148+'2. Vstupní data on-premise '!$F$149)/DelkaProjektu)))))))</f>
        <v>0</v>
      </c>
      <c r="I29" s="356">
        <f>IF('2. Vstupní data on-premise '!$D$154="ANO",0,IF('2. Vstupní data on-premise '!$D$154="NE",IF(DelkaProjektu=1,0,IF(DelkaProjektu=2,0,IF(DelkaProjektu=3,0,IF(DelkaProjektu=4,0,IF(DelkaProjektu=5,('2. Vstupní data on-premise '!$E$148*'2. Vstupní data on-premise '!$F$148+'2. Vstupní data on-premise '!$F$149)/DelkaProjektu)))))))</f>
        <v>0</v>
      </c>
      <c r="J29" s="355">
        <f>SUM(E29:I29)</f>
        <v>0</v>
      </c>
    </row>
    <row r="30" spans="1:15" x14ac:dyDescent="0.25">
      <c r="B30" s="357" t="s">
        <v>10</v>
      </c>
      <c r="C30" s="358" t="s">
        <v>12</v>
      </c>
      <c r="D30" s="359" t="s">
        <v>112</v>
      </c>
      <c r="E30" s="355">
        <f>IF('2. Vstupní data on-premise '!$D$154="ANO",'2. Vstupní data on-premise '!$F$150*'2. Vstupní data on-premise '!$E$150+ExterniPoradenstviVerejnaZakazka,IF('2. Vstupní data on-premise '!$D$154="NE",IF(DelkaProjektu=1,('2. Vstupní data on-premise '!$F$150*'2. Vstupní data on-premise '!$E$150+ExterniPoradenstviVerejnaZakazka)/DelkaProjektu,IF(DelkaProjektu=2,('2. Vstupní data on-premise '!$F$150*'2. Vstupní data on-premise '!$E$150+ExterniPoradenstviVerejnaZakazka)/DelkaProjektu,IF(DelkaProjektu=3,('2. Vstupní data on-premise '!$F$150*'2. Vstupní data on-premise '!$E$150+ExterniPoradenstviVerejnaZakazka)/DelkaProjektu,IF(DelkaProjektu=4,('2. Vstupní data on-premise '!$F$150*'2. Vstupní data on-premise '!$E$150+ExterniPoradenstviVerejnaZakazka)/DelkaProjektu,IF(DelkaProjektu=5,('2. Vstupní data on-premise '!$F$150*'2. Vstupní data on-premise '!$E$150+ExterniPoradenstviVerejnaZakazka)/DelkaProjektu)))))))</f>
        <v>0</v>
      </c>
      <c r="F30" s="356">
        <f>IF('2. Vstupní data on-premise '!$D$154="ANO",0,IF('2. Vstupní data on-premise '!$D$154="NE",IF(DelkaProjektu=1,0,IF(DelkaProjektu=2,('2. Vstupní data on-premise '!$F$150*'2. Vstupní data on-premise '!$E$150+ExterniPoradenstviVerejnaZakazka)/DelkaProjektu,IF(DelkaProjektu=3,('2. Vstupní data on-premise '!$F$150*'2. Vstupní data on-premise '!$E$150+ExterniPoradenstviVerejnaZakazka)/DelkaProjektu,IF(DelkaProjektu=4,('2. Vstupní data on-premise '!$F$150*'2. Vstupní data on-premise '!$E$150+ExterniPoradenstviVerejnaZakazka)/DelkaProjektu,IF(DelkaProjektu=5,('2. Vstupní data on-premise '!$F$150*'2. Vstupní data on-premise '!$E$150+ExterniPoradenstviVerejnaZakazka)/DelkaProjektu)))))))</f>
        <v>0</v>
      </c>
      <c r="G30" s="356">
        <f>IF('2. Vstupní data on-premise '!$D$154="ANO",0,IF('2. Vstupní data on-premise '!$D$154="NE",IF(DelkaProjektu=1,0,IF(DelkaProjektu=2,0,IF(DelkaProjektu=3,('2. Vstupní data on-premise '!$F$150*'2. Vstupní data on-premise '!$E$150+ExterniPoradenstviVerejnaZakazka)/DelkaProjektu,IF(DelkaProjektu=4,('2. Vstupní data on-premise '!$F$150*'2. Vstupní data on-premise '!$E$150+ExterniPoradenstviVerejnaZakazka)/DelkaProjektu,IF(DelkaProjektu=5,('2. Vstupní data on-premise '!$F$150*'2. Vstupní data on-premise '!$E$150+ExterniPoradenstviVerejnaZakazka)/DelkaProjektu)))))))</f>
        <v>0</v>
      </c>
      <c r="H30" s="356">
        <f>IF('2. Vstupní data on-premise '!$D$154="ANO",0,IF('2. Vstupní data on-premise '!$D$154="NE",IF(DelkaProjektu=1,0,IF(DelkaProjektu=2,0,IF(DelkaProjektu=3,0,IF(DelkaProjektu=4,('2. Vstupní data on-premise '!$F$150*'2. Vstupní data on-premise '!$E$150+ExterniPoradenstviVerejnaZakazka)/DelkaProjektu,IF(DelkaProjektu=5,('2. Vstupní data on-premise '!$F$150*'2. Vstupní data on-premise '!$E$150+ExterniPoradenstviVerejnaZakazka)/DelkaProjektu)))))))</f>
        <v>0</v>
      </c>
      <c r="I30" s="356">
        <f>IF('2. Vstupní data on-premise '!$D$154="ANO",0,IF('2. Vstupní data on-premise '!$D$154="NE",IF(DelkaProjektu=1,0,IF(DelkaProjektu=2,0,IF(DelkaProjektu=3,0,IF(DelkaProjektu=4,0,IF(DelkaProjektu=5,('2. Vstupní data on-premise '!$F$150*'2. Vstupní data on-premise '!$E$150+ExterniPoradenstviVerejnaZakazka)/DelkaProjektu)))))))</f>
        <v>0</v>
      </c>
      <c r="J30" s="355">
        <f>SUM(E30:I30)</f>
        <v>0</v>
      </c>
    </row>
    <row r="31" spans="1:15" x14ac:dyDescent="0.25">
      <c r="B31" s="361" t="s">
        <v>114</v>
      </c>
      <c r="C31" s="362" t="s">
        <v>19</v>
      </c>
      <c r="D31" s="362" t="s">
        <v>112</v>
      </c>
      <c r="E31" s="363">
        <f>SUM(E47,E46,E43,E37,E32,E51,E54,E55)</f>
        <v>0</v>
      </c>
      <c r="F31" s="363">
        <f t="shared" ref="F31:J31" si="1">SUM(F47,F46,F43,F37,F32,F51,F54,F55)</f>
        <v>0</v>
      </c>
      <c r="G31" s="363">
        <f t="shared" si="1"/>
        <v>0</v>
      </c>
      <c r="H31" s="363">
        <f t="shared" si="1"/>
        <v>0</v>
      </c>
      <c r="I31" s="363">
        <f t="shared" si="1"/>
        <v>0</v>
      </c>
      <c r="J31" s="363">
        <f t="shared" si="1"/>
        <v>0</v>
      </c>
    </row>
    <row r="32" spans="1:15" x14ac:dyDescent="0.25">
      <c r="B32" s="352" t="s">
        <v>20</v>
      </c>
      <c r="C32" s="353" t="s">
        <v>21</v>
      </c>
      <c r="D32" s="354" t="s">
        <v>112</v>
      </c>
      <c r="E32" s="355">
        <f>SUM(E33:E36)</f>
        <v>0</v>
      </c>
      <c r="F32" s="355">
        <f t="shared" ref="F32:I32" si="2">SUM(F33:F36)</f>
        <v>0</v>
      </c>
      <c r="G32" s="355">
        <f t="shared" si="2"/>
        <v>0</v>
      </c>
      <c r="H32" s="355">
        <f t="shared" si="2"/>
        <v>0</v>
      </c>
      <c r="I32" s="355">
        <f t="shared" si="2"/>
        <v>0</v>
      </c>
      <c r="J32" s="355">
        <f>SUM(J33:J36)</f>
        <v>0</v>
      </c>
    </row>
    <row r="33" spans="2:10" outlineLevel="1" x14ac:dyDescent="0.25">
      <c r="B33" s="364" t="s">
        <v>13</v>
      </c>
      <c r="C33" s="365" t="s">
        <v>22</v>
      </c>
      <c r="D33" s="366" t="s">
        <v>112</v>
      </c>
      <c r="E33" s="367">
        <f>IF('2. Vstupní data on-premise '!$D94="ANO",'2. Vstupní data on-premise '!$F94,IF('2. Vstupní data on-premise '!$D94="NE",IF(DelkaProjektu=1,'2. Vstupní data on-premise '!$F94/DelkaProjektu,IF(DelkaProjektu=2,'2. Vstupní data on-premise '!$F94/DelkaProjektu,IF(DelkaProjektu=3,'2. Vstupní data on-premise '!$F94/DelkaProjektu,IF(DelkaProjektu=4,'2. Vstupní data on-premise '!$F94/DelkaProjektu,IF(DelkaProjektu=5,'2. Vstupní data on-premise '!$F94/DelkaProjektu)))))))</f>
        <v>0</v>
      </c>
      <c r="F33" s="367">
        <f>IF('2. Vstupní data on-premise '!$D94="ANO",0,IF('2. Vstupní data on-premise '!$D94="NE",IF(DelkaProjektu=1,0,IF(DelkaProjektu=2,'2. Vstupní data on-premise '!$F94/DelkaProjektu,IF(DelkaProjektu=3,'2. Vstupní data on-premise '!$F94/DelkaProjektu,IF(DelkaProjektu=4,'2. Vstupní data on-premise '!$F94/DelkaProjektu,IF(DelkaProjektu=5,'2. Vstupní data on-premise '!$F94/DelkaProjektu)))))))</f>
        <v>0</v>
      </c>
      <c r="G33" s="367">
        <f>IF('2. Vstupní data on-premise '!$D94="ANO",0,IF('2. Vstupní data on-premise '!$D94="NE",IF(DelkaProjektu=1,0,IF(DelkaProjektu=2,0,IF(DelkaProjektu=3,'2. Vstupní data on-premise '!$F94/DelkaProjektu,IF(DelkaProjektu=4,'2. Vstupní data on-premise '!$F94/DelkaProjektu,IF(DelkaProjektu=5,'2. Vstupní data on-premise '!$F94/DelkaProjektu)))))))</f>
        <v>0</v>
      </c>
      <c r="H33" s="367">
        <f>IF('2. Vstupní data on-premise '!$D94="ANO",0,IF('2. Vstupní data on-premise '!$D94="NE",IF(DelkaProjektu=1,0,IF(DelkaProjektu=2,0,IF(DelkaProjektu=3,0,IF(DelkaProjektu=4,'2. Vstupní data on-premise '!$F94/DelkaProjektu,IF(DelkaProjektu=5,'2. Vstupní data on-premise '!$F94/DelkaProjektu)))))))</f>
        <v>0</v>
      </c>
      <c r="I33" s="367">
        <f>IF('2. Vstupní data on-premise '!$D94="ANO",0,IF('2. Vstupní data on-premise '!$D94="NE",IF(DelkaProjektu=1,0,IF(DelkaProjektu=2,0,IF(DelkaProjektu=3,0,IF(DelkaProjektu=4,0,IF(DelkaProjektu=5,'2. Vstupní data on-premise '!$F94/DelkaProjektu)))))))</f>
        <v>0</v>
      </c>
      <c r="J33" s="367">
        <f t="shared" ref="J33:J38" si="3">SUM(E33:I33)</f>
        <v>0</v>
      </c>
    </row>
    <row r="34" spans="2:10" outlineLevel="1" x14ac:dyDescent="0.25">
      <c r="B34" s="364" t="s">
        <v>14</v>
      </c>
      <c r="C34" s="365" t="s">
        <v>23</v>
      </c>
      <c r="D34" s="366" t="s">
        <v>112</v>
      </c>
      <c r="E34" s="367">
        <f>IF('2. Vstupní data on-premise '!$D95="ANO",'2. Vstupní data on-premise '!$F95,IF('2. Vstupní data on-premise '!$D95="NE",IF(DelkaProjektu=1,'2. Vstupní data on-premise '!$F95/DelkaProjektu,IF(DelkaProjektu=2,'2. Vstupní data on-premise '!$F95/DelkaProjektu,IF(DelkaProjektu=3,'2. Vstupní data on-premise '!$F95/DelkaProjektu,IF(DelkaProjektu=4,'2. Vstupní data on-premise '!$F95/DelkaProjektu,IF(DelkaProjektu=5,'2. Vstupní data on-premise '!$F95/DelkaProjektu)))))))</f>
        <v>0</v>
      </c>
      <c r="F34" s="367">
        <f>IF('2. Vstupní data on-premise '!$D95="ANO",0,IF('2. Vstupní data on-premise '!$D95="NE",IF(DelkaProjektu=1,0,IF(DelkaProjektu=2,'2. Vstupní data on-premise '!$F95/DelkaProjektu,IF(DelkaProjektu=3,'2. Vstupní data on-premise '!$F95/DelkaProjektu,IF(DelkaProjektu=4,'2. Vstupní data on-premise '!$F95/DelkaProjektu,IF(DelkaProjektu=5,'2. Vstupní data on-premise '!$F95/DelkaProjektu)))))))</f>
        <v>0</v>
      </c>
      <c r="G34" s="367">
        <f>IF('2. Vstupní data on-premise '!$D95="ANO",0,IF('2. Vstupní data on-premise '!$D95="NE",IF(DelkaProjektu=1,0,IF(DelkaProjektu=2,0,IF(DelkaProjektu=3,'2. Vstupní data on-premise '!$F95/DelkaProjektu,IF(DelkaProjektu=4,'2. Vstupní data on-premise '!$F95/DelkaProjektu,IF(DelkaProjektu=5,'2. Vstupní data on-premise '!$F95/DelkaProjektu)))))))</f>
        <v>0</v>
      </c>
      <c r="H34" s="367">
        <f>IF('2. Vstupní data on-premise '!$D95="ANO",0,IF('2. Vstupní data on-premise '!$D95="NE",IF(DelkaProjektu=1,0,IF(DelkaProjektu=2,0,IF(DelkaProjektu=3,0,IF(DelkaProjektu=4,'2. Vstupní data on-premise '!$F95/DelkaProjektu,IF(DelkaProjektu=5,'2. Vstupní data on-premise '!$F95/DelkaProjektu)))))))</f>
        <v>0</v>
      </c>
      <c r="I34" s="367">
        <f>IF('2. Vstupní data on-premise '!$D95="ANO",0,IF('2. Vstupní data on-premise '!$D95="NE",IF(DelkaProjektu=1,0,IF(DelkaProjektu=2,0,IF(DelkaProjektu=3,0,IF(DelkaProjektu=4,0,IF(DelkaProjektu=5,'2. Vstupní data on-premise '!$F95/DelkaProjektu)))))))</f>
        <v>0</v>
      </c>
      <c r="J34" s="367">
        <f t="shared" si="3"/>
        <v>0</v>
      </c>
    </row>
    <row r="35" spans="2:10" ht="15.75" customHeight="1" outlineLevel="1" x14ac:dyDescent="0.25">
      <c r="B35" s="364" t="s">
        <v>16</v>
      </c>
      <c r="C35" s="365" t="s">
        <v>24</v>
      </c>
      <c r="D35" s="366" t="s">
        <v>112</v>
      </c>
      <c r="E35" s="367">
        <f>IF('2. Vstupní data on-premise '!$D96="ANO",'2. Vstupní data on-premise '!$F96,IF('2. Vstupní data on-premise '!$D96="NE",IF(DelkaProjektu=1,'2. Vstupní data on-premise '!$F96/DelkaProjektu,IF(DelkaProjektu=2,'2. Vstupní data on-premise '!$F96/DelkaProjektu,IF(DelkaProjektu=3,'2. Vstupní data on-premise '!$F96/DelkaProjektu,IF(DelkaProjektu=4,'2. Vstupní data on-premise '!$F96/DelkaProjektu,IF(DelkaProjektu=5,'2. Vstupní data on-premise '!$F96/DelkaProjektu)))))))</f>
        <v>0</v>
      </c>
      <c r="F35" s="367">
        <f>IF('2. Vstupní data on-premise '!$D96="ANO",0,IF('2. Vstupní data on-premise '!$D96="NE",IF(DelkaProjektu=1,0,IF(DelkaProjektu=2,'2. Vstupní data on-premise '!$F96/DelkaProjektu,IF(DelkaProjektu=3,'2. Vstupní data on-premise '!$F96/DelkaProjektu,IF(DelkaProjektu=4,'2. Vstupní data on-premise '!$F96/DelkaProjektu,IF(DelkaProjektu=5,'2. Vstupní data on-premise '!$F96/DelkaProjektu)))))))</f>
        <v>0</v>
      </c>
      <c r="G35" s="367">
        <f>IF('2. Vstupní data on-premise '!$D96="ANO",0,IF('2. Vstupní data on-premise '!$D96="NE",IF(DelkaProjektu=1,0,IF(DelkaProjektu=2,0,IF(DelkaProjektu=3,'2. Vstupní data on-premise '!$F96/DelkaProjektu,IF(DelkaProjektu=4,'2. Vstupní data on-premise '!$F96/DelkaProjektu,IF(DelkaProjektu=5,'2. Vstupní data on-premise '!$F96/DelkaProjektu)))))))</f>
        <v>0</v>
      </c>
      <c r="H35" s="367">
        <f>IF('2. Vstupní data on-premise '!$D96="ANO",0,IF('2. Vstupní data on-premise '!$D96="NE",IF(DelkaProjektu=1,0,IF(DelkaProjektu=2,0,IF(DelkaProjektu=3,0,IF(DelkaProjektu=4,'2. Vstupní data on-premise '!$F96/DelkaProjektu,IF(DelkaProjektu=5,'2. Vstupní data on-premise '!$F96/DelkaProjektu)))))))</f>
        <v>0</v>
      </c>
      <c r="I35" s="367">
        <f>IF('2. Vstupní data on-premise '!$D96="ANO",0,IF('2. Vstupní data on-premise '!$D96="NE",IF(DelkaProjektu=1,0,IF(DelkaProjektu=2,0,IF(DelkaProjektu=3,0,IF(DelkaProjektu=4,0,IF(DelkaProjektu=5,'2. Vstupní data on-premise '!$F96/DelkaProjektu)))))))</f>
        <v>0</v>
      </c>
      <c r="J35" s="367">
        <f t="shared" si="3"/>
        <v>0</v>
      </c>
    </row>
    <row r="36" spans="2:10" ht="15.75" customHeight="1" outlineLevel="1" x14ac:dyDescent="0.25">
      <c r="B36" s="364" t="s">
        <v>351</v>
      </c>
      <c r="C36" s="365" t="s">
        <v>350</v>
      </c>
      <c r="D36" s="366" t="s">
        <v>112</v>
      </c>
      <c r="E36" s="368">
        <f>IF('2. Vstupní data on-premise '!$D97="ANO",RackyPorizeni,IF('2. Vstupní data on-premise '!$D97="NE",IF(DelkaProjektu=1,RackyPorizeni/DelkaProjektu,IF(DelkaProjektu=2,RackyPorizeni/DelkaProjektu,IF(DelkaProjektu=3,RackyPorizeni/DelkaProjektu,IF(DelkaProjektu=4,RackyPorizeni/DelkaProjektu,IF(DelkaProjektu=5,RackyPorizeni/DelkaProjektu)))))))</f>
        <v>0</v>
      </c>
      <c r="F36" s="367">
        <f>IF('2. Vstupní data on-premise '!$D97="ANO",0,IF('2. Vstupní data on-premise '!$D97="NE",IF(DelkaProjektu=1,0,IF(DelkaProjektu=2,RackyPorizeni/DelkaProjektu,IF(DelkaProjektu=3,RackyPorizeni/DelkaProjektu,IF(DelkaProjektu=4,RackyPorizeni/DelkaProjektu,IF(DelkaProjektu=5,RackyPorizeni/DelkaProjektu)))))))</f>
        <v>0</v>
      </c>
      <c r="G36" s="367">
        <f>IF('2. Vstupní data on-premise '!$D97="ANO",0,IF('2. Vstupní data on-premise '!$D97="NE",IF(DelkaProjektu=1,0,IF(DelkaProjektu=2,0,IF(DelkaProjektu=3,RackyPorizeni/DelkaProjektu,IF(DelkaProjektu=4,RackyPorizeni/DelkaProjektu,IF(DelkaProjektu=5,RackyPorizeni/DelkaProjektu)))))))</f>
        <v>0</v>
      </c>
      <c r="H36" s="367">
        <f>IF('2. Vstupní data on-premise '!$D97="ANO",0,IF('2. Vstupní data on-premise '!$D97="NE",IF(DelkaProjektu=1,0,IF(DelkaProjektu=2,0,IF(DelkaProjektu=3,0,IF(DelkaProjektu=4,RackyPorizeni/DelkaProjektu,IF(DelkaProjektu=5,RackyPorizeni/DelkaProjektu)))))))</f>
        <v>0</v>
      </c>
      <c r="I36" s="367">
        <f>IF('2. Vstupní data on-premise '!$D97="ANO",0,IF('2. Vstupní data on-premise '!$D97="NE",IF(DelkaProjektu=1,0,IF(DelkaProjektu=2,0,IF(DelkaProjektu=3,0,IF(DelkaProjektu=4,0,IF(DelkaProjektu=5,RackyPorizeni/DelkaProjektu)))))))</f>
        <v>0</v>
      </c>
      <c r="J36" s="367">
        <f t="shared" si="3"/>
        <v>0</v>
      </c>
    </row>
    <row r="37" spans="2:10" ht="15.75" customHeight="1" x14ac:dyDescent="0.25">
      <c r="B37" s="352" t="s">
        <v>25</v>
      </c>
      <c r="C37" s="369" t="s">
        <v>26</v>
      </c>
      <c r="D37" s="354" t="s">
        <v>112</v>
      </c>
      <c r="E37" s="355">
        <f>E38+E39+E42</f>
        <v>0</v>
      </c>
      <c r="F37" s="355">
        <f t="shared" ref="F37:I37" si="4">F38+F39+F42</f>
        <v>0</v>
      </c>
      <c r="G37" s="355">
        <f t="shared" si="4"/>
        <v>0</v>
      </c>
      <c r="H37" s="355">
        <f t="shared" si="4"/>
        <v>0</v>
      </c>
      <c r="I37" s="355">
        <f t="shared" si="4"/>
        <v>0</v>
      </c>
      <c r="J37" s="355">
        <f t="shared" si="3"/>
        <v>0</v>
      </c>
    </row>
    <row r="38" spans="2:10" ht="15.75" customHeight="1" outlineLevel="1" x14ac:dyDescent="0.25">
      <c r="B38" s="364" t="s">
        <v>27</v>
      </c>
      <c r="C38" s="365" t="s">
        <v>29</v>
      </c>
      <c r="D38" s="366" t="s">
        <v>112</v>
      </c>
      <c r="E38" s="367">
        <f>IF('2. Vstupní data on-premise '!$D50="ANO",ServerCena+SANCenaTB+ZalohaTBCenaHW,IF('2. Vstupní data on-premise '!$D50="NE",IF(DelkaProjektu=1,ServerCena/DelkaProjektu+SANTbCena*E$159+ZalohaTbCena*E$159,IF(DelkaProjektu=2,ServerCena/DelkaProjektu+SANTbCena*E$159+ZalohaTbCena*E$159,IF(DelkaProjektu=3,ServerCena/DelkaProjektu+SANTbCena*E$159+ZalohaTbCena*E$159,IF(DelkaProjektu=4,ServerCena/DelkaProjektu+SANTbCena*E$159+ZalohaTbCena*E$159,IF(DelkaProjektu=5,ServerCena/DelkaProjektu+SANTbCena*E$159+ZalohaTbCena*E$159)))))))</f>
        <v>0</v>
      </c>
      <c r="F38" s="367">
        <f>IF('2. Vstupní data on-premise '!$D50="ANO",0,IF('2. Vstupní data on-premise '!$D50="NE",IF(DelkaProjektu=1,0,IF(DelkaProjektu=2,ServerCena/DelkaProjektu+SANTbCena*F$159+ZalohaTbCena*F$159,IF(DelkaProjektu=3,ServerCena/DelkaProjektu+SANTbCena*F$159+ZalohaTbCena*F$159,IF(DelkaProjektu=4,ServerCena/DelkaProjektu+SANTbCena*F$159+ZalohaTbCena*F$159,IF(DelkaProjektu=5,ServerCena/DelkaProjektu+SANTbCena*F$159+ZalohaTbCena*F$159)))))))</f>
        <v>0</v>
      </c>
      <c r="G38" s="367">
        <f>IF('2. Vstupní data on-premise '!$D50="ANO",0,IF('2. Vstupní data on-premise '!$D50="NE",IF(DelkaProjektu=1,0,IF(DelkaProjektu=2,0,IF(DelkaProjektu=3,ServerCena/DelkaProjektu+SANTbCena*G$159+ZalohaTbCena*G$159,IF(DelkaProjektu=4,ServerCena/DelkaProjektu+SANTbCena*G$159+ZalohaTbCena*G$159,IF(DelkaProjektu=5,ServerCena/DelkaProjektu+SANTbCena*G$159+ZalohaTbCena*G$159)))))))</f>
        <v>0</v>
      </c>
      <c r="H38" s="367">
        <f>IF('2. Vstupní data on-premise '!$D50="ANO",0,IF('2. Vstupní data on-premise '!$D50="NE",IF(DelkaProjektu=1,0,IF(DelkaProjektu=2,0,IF(DelkaProjektu=3,0,IF(DelkaProjektu=4,ServerCena/DelkaProjektu+SANTbCena*H$159+ZalohaTbCena*H$159,IF(DelkaProjektu=5,ServerCena/DelkaProjektu+SANTbCena*H$159+ZalohaTbCena*H$159)))))))</f>
        <v>0</v>
      </c>
      <c r="I38" s="367">
        <f>IF('2. Vstupní data on-premise '!$D50="ANO",0,IF('2. Vstupní data on-premise '!$D50="NE",IF(DelkaProjektu=1,0,IF(DelkaProjektu=2,0,IF(DelkaProjektu=3,0,IF(DelkaProjektu=4,0,IF(DelkaProjektu=5,ServerCena/DelkaProjektu+SANTbCena*I$159+ZalohaTbCena*I$159)))))))</f>
        <v>0</v>
      </c>
      <c r="J38" s="367">
        <f t="shared" si="3"/>
        <v>0</v>
      </c>
    </row>
    <row r="39" spans="2:10" ht="15.75" customHeight="1" outlineLevel="1" x14ac:dyDescent="0.25">
      <c r="B39" s="364" t="s">
        <v>28</v>
      </c>
      <c r="C39" s="365" t="s">
        <v>30</v>
      </c>
      <c r="D39" s="366" t="s">
        <v>112</v>
      </c>
      <c r="E39" s="370">
        <f>SUM(E40:E41)</f>
        <v>0</v>
      </c>
      <c r="F39" s="370">
        <f t="shared" ref="F39:I39" si="5">SUM(F40:F41)</f>
        <v>0</v>
      </c>
      <c r="G39" s="370">
        <f t="shared" si="5"/>
        <v>0</v>
      </c>
      <c r="H39" s="370">
        <f t="shared" si="5"/>
        <v>0</v>
      </c>
      <c r="I39" s="370">
        <f t="shared" si="5"/>
        <v>0</v>
      </c>
      <c r="J39" s="367">
        <f t="shared" ref="J39" si="6">SUM(E39:I39)</f>
        <v>0</v>
      </c>
    </row>
    <row r="40" spans="2:10" ht="15.75" customHeight="1" outlineLevel="1" x14ac:dyDescent="0.25">
      <c r="B40" s="364"/>
      <c r="C40" s="365" t="s">
        <v>331</v>
      </c>
      <c r="D40" s="366" t="s">
        <v>112</v>
      </c>
      <c r="E40" s="368">
        <f>IF('2. Vstupní data on-premise '!$D69="ANO",RouterPorizeni+LoadBalancerPorizeni+SwitchPorizeni+JinyPrvekPorizeni,IF('2. Vstupní data on-premise '!$D69="NE",IF(DelkaProjektu=1,(RouterPorizeni+LoadBalancerPorizeni+SwitchPorizeni+JinyPrvekPorizeni)/DelkaProjektu,IF(DelkaProjektu=2,(RouterPorizeni+LoadBalancerPorizeni+SwitchPorizeni+JinyPrvekPorizeni)/DelkaProjektu,IF(DelkaProjektu=3,(RouterPorizeni+LoadBalancerPorizeni+SwitchPorizeni+JinyPrvekPorizeni)/DelkaProjektu,IF(DelkaProjektu=4,(RouterPorizeni+LoadBalancerPorizeni+SwitchPorizeni+JinyPrvekPorizeni)/DelkaProjektu,IF(DelkaProjektu=5,(RouterPorizeni+LoadBalancerPorizeni+SwitchPorizeni+JinyPrvekPorizeni)/DelkaProjektu)))))))</f>
        <v>0</v>
      </c>
      <c r="F40" s="367">
        <f>IF('2. Vstupní data on-premise '!$D69="ANO",0,IF('2. Vstupní data on-premise '!$D69="NE",IF(DelkaProjektu=1,0,IF(DelkaProjektu=2,(RouterPorizeni+LoadBalancerPorizeni+SwitchPorizeni+JinyPrvekPorizeni)/DelkaProjektu,IF(DelkaProjektu=3,(RouterPorizeni+LoadBalancerPorizeni+SwitchPorizeni+JinyPrvekPorizeni)/DelkaProjektu,IF(DelkaProjektu=4,(RouterPorizeni+LoadBalancerPorizeni+SwitchPorizeni+JinyPrvekPorizeni)/DelkaProjektu,IF(DelkaProjektu=5,(RouterPorizeni+LoadBalancerPorizeni+SwitchPorizeni+JinyPrvekPorizeni)/DelkaProjektu)))))))</f>
        <v>0</v>
      </c>
      <c r="G40" s="367">
        <f>IF('2. Vstupní data on-premise '!$D69="ANO",0,IF('2. Vstupní data on-premise '!$D69="NE",IF(DelkaProjektu=1,0,IF(DelkaProjektu=2,0,IF(DelkaProjektu=3,(RouterPorizeni+LoadBalancerPorizeni+SwitchPorizeni+JinyPrvekPorizeni)/DelkaProjektu,IF(DelkaProjektu=4,(RouterPorizeni+LoadBalancerPorizeni+SwitchPorizeni+JinyPrvekPorizeni)/DelkaProjektu,IF(DelkaProjektu=5,(RouterPorizeni+LoadBalancerPorizeni+SwitchPorizeni+JinyPrvekPorizeni)/DelkaProjektu)))))))</f>
        <v>0</v>
      </c>
      <c r="H40" s="367">
        <f>IF('2. Vstupní data on-premise '!$D69="ANO",0,IF('2. Vstupní data on-premise '!$D69="NE",IF(DelkaProjektu=1,0,IF(DelkaProjektu=2,0,IF(DelkaProjektu=3,0,IF(DelkaProjektu=4,(RouterPorizeni+LoadBalancerPorizeni+SwitchPorizeni+JinyPrvekPorizeni)/DelkaProjektu,IF(DelkaProjektu=5,(RouterPorizeni+LoadBalancerPorizeni+SwitchPorizeni+JinyPrvekPorizeni)/DelkaProjektu)))))))</f>
        <v>0</v>
      </c>
      <c r="I40" s="367">
        <f>IF('2. Vstupní data on-premise '!$D69="ANO",0,IF('2. Vstupní data on-premise '!$D69="NE",IF(DelkaProjektu=1,0,IF(DelkaProjektu=2,0,IF(DelkaProjektu=3,0,IF(DelkaProjektu=4,0,IF(DelkaProjektu=5,(RouterPorizeni+LoadBalancerPorizeni+SwitchPorizeni+JinyPrvekPorizeni)/DelkaProjektu)))))))</f>
        <v>0</v>
      </c>
      <c r="J40" s="367">
        <f>SUM(E40:I40)</f>
        <v>0</v>
      </c>
    </row>
    <row r="41" spans="2:10" ht="15.75" customHeight="1" outlineLevel="1" x14ac:dyDescent="0.25">
      <c r="B41" s="364"/>
      <c r="C41" s="365" t="s">
        <v>213</v>
      </c>
      <c r="D41" s="366" t="s">
        <v>112</v>
      </c>
      <c r="E41" s="368">
        <f>IF('2. Vstupní data on-premise '!$D77="ANO",Firewall+JinyPrvek,IF('2. Vstupní data on-premise '!$D77="NE",IF(DelkaProjektu=1,(Firewall+JinyPrvek)/DelkaProjektu,IF(DelkaProjektu=2,(Firewall+JinyPrvek)/DelkaProjektu,IF(DelkaProjektu=3,(Firewall+JinyPrvek)/DelkaProjektu,IF(DelkaProjektu=4,(Firewall+JinyPrvek)/DelkaProjektu,IF(DelkaProjektu=5,(Firewall+JinyPrvek)/DelkaProjektu)))))))</f>
        <v>0</v>
      </c>
      <c r="F41" s="367">
        <f>IF('2. Vstupní data on-premise '!$D77="ANO",0,IF('2. Vstupní data on-premise '!$D77="NE",IF(DelkaProjektu=1,0,IF(DelkaProjektu=2,(Firewall+JinyPrvek)/DelkaProjektu,IF(DelkaProjektu=3,(Firewall+JinyPrvek)/DelkaProjektu,IF(DelkaProjektu=4,(Firewall+JinyPrvek)/DelkaProjektu,IF(DelkaProjektu=5,(Firewall+JinyPrvek)/DelkaProjektu)))))))</f>
        <v>0</v>
      </c>
      <c r="G41" s="367">
        <f>IF('2. Vstupní data on-premise '!$D77="ANO",0,IF('2. Vstupní data on-premise '!$D77="NE",IF(DelkaProjektu=1,0,IF(DelkaProjektu=2,0,IF(DelkaProjektu=3,(Firewall+JinyPrvek)/DelkaProjektu,IF(DelkaProjektu=4,(Firewall+JinyPrvek)/DelkaProjektu,IF(DelkaProjektu=5,(Firewall+JinyPrvek)/DelkaProjektu)))))))</f>
        <v>0</v>
      </c>
      <c r="H41" s="367">
        <f>IF('2. Vstupní data on-premise '!$D77="ANO",0,IF('2. Vstupní data on-premise '!$D77="NE",IF(DelkaProjektu=1,0,IF(DelkaProjektu=2,0,IF(DelkaProjektu=3,0,IF(DelkaProjektu=4,(Firewall+JinyPrvek)/DelkaProjektu,IF(DelkaProjektu=5,(Firewall+JinyPrvek)/DelkaProjektu)))))))</f>
        <v>0</v>
      </c>
      <c r="I41" s="367">
        <f>IF('2. Vstupní data on-premise '!$D77="ANO",0,IF('2. Vstupní data on-premise '!$D77="NE",IF(DelkaProjektu=1,0,IF(DelkaProjektu=2,0,IF(DelkaProjektu=3,0,IF(DelkaProjektu=4,0,IF(DelkaProjektu=5,(Firewall+JinyPrvek)/DelkaProjektu)))))))</f>
        <v>0</v>
      </c>
      <c r="J41" s="367">
        <f>SUM(E41:I41)</f>
        <v>0</v>
      </c>
    </row>
    <row r="42" spans="2:10" ht="15.75" customHeight="1" outlineLevel="1" x14ac:dyDescent="0.25">
      <c r="B42" s="364" t="s">
        <v>31</v>
      </c>
      <c r="C42" s="365" t="s">
        <v>32</v>
      </c>
      <c r="D42" s="366" t="s">
        <v>112</v>
      </c>
      <c r="E42" s="367">
        <f>IF('2. Vstupní data on-premise '!$D86="ANO",KoncovyHWuziv,IF('2. Vstupní data on-premise '!$D86="NE",IF(DelkaProjektu=1,KoncovyHWuziv/DelkaProjektu,IF(DelkaProjektu=2,KoncovyHWuziv/DelkaProjektu,IF(DelkaProjektu=3,KoncovyHWuziv/DelkaProjektu,IF(DelkaProjektu=4,KoncovyHWuziv/DelkaProjektu,IF(DelkaProjektu=5,KoncovyHWuziv/DelkaProjektu)))))))</f>
        <v>0</v>
      </c>
      <c r="F42" s="367">
        <f>IF('2. Vstupní data on-premise '!$D86="ANO",0,IF('2. Vstupní data on-premise '!$D86="NE",IF(DelkaProjektu=1,0,IF(DelkaProjektu=2,KoncovyHWuziv/DelkaProjektu,IF(DelkaProjektu=3,KoncovyHWuziv/DelkaProjektu,IF(DelkaProjektu=4,KoncovyHWuziv/DelkaProjektu,IF(DelkaProjektu=5,KoncovyHWuziv/DelkaProjektu)))))))</f>
        <v>0</v>
      </c>
      <c r="G42" s="367">
        <f>IF('2. Vstupní data on-premise '!$D86="ANO",0,IF('2. Vstupní data on-premise '!$D86="NE",IF(DelkaProjektu=1,0,IF(DelkaProjektu=2,0,IF(DelkaProjektu=3,KoncovyHWuziv/DelkaProjektu,IF(DelkaProjektu=4,KoncovyHWuziv/DelkaProjektu,IF(DelkaProjektu=5,KoncovyHWuziv/DelkaProjektu)))))))</f>
        <v>0</v>
      </c>
      <c r="H42" s="367">
        <f>IF('2. Vstupní data on-premise '!$D86="ANO",0,IF('2. Vstupní data on-premise '!$D86="NE",IF(DelkaProjektu=1,0,IF(DelkaProjektu=2,0,IF(DelkaProjektu=3,0,IF(DelkaProjektu=4,KoncovyHWuziv/DelkaProjektu,IF(DelkaProjektu=5,KoncovyHWuziv/DelkaProjektu)))))))</f>
        <v>0</v>
      </c>
      <c r="I42" s="367">
        <f>IF('2. Vstupní data on-premise '!$D86="ANO",0,IF('2. Vstupní data on-premise '!$D86="NE",IF(DelkaProjektu=1,0,IF(DelkaProjektu=2,0,IF(DelkaProjektu=3,0,IF(DelkaProjektu=4,0,IF(DelkaProjektu=5,KoncovyHWuziv/DelkaProjektu)))))))</f>
        <v>0</v>
      </c>
      <c r="J42" s="367">
        <f>SUM(E42:I42)</f>
        <v>0</v>
      </c>
    </row>
    <row r="43" spans="2:10" ht="15.75" customHeight="1" x14ac:dyDescent="0.25">
      <c r="B43" s="352" t="s">
        <v>33</v>
      </c>
      <c r="C43" s="369" t="s">
        <v>34</v>
      </c>
      <c r="D43" s="354" t="s">
        <v>112</v>
      </c>
      <c r="E43" s="355">
        <f>SUM(E44:E45)</f>
        <v>0</v>
      </c>
      <c r="F43" s="355">
        <f t="shared" ref="F43:I43" si="7">SUM(F44:F45)</f>
        <v>0</v>
      </c>
      <c r="G43" s="355">
        <f t="shared" si="7"/>
        <v>0</v>
      </c>
      <c r="H43" s="355">
        <f t="shared" si="7"/>
        <v>0</v>
      </c>
      <c r="I43" s="355">
        <f t="shared" si="7"/>
        <v>0</v>
      </c>
      <c r="J43" s="355">
        <f>SUM(J44:J45)</f>
        <v>0</v>
      </c>
    </row>
    <row r="44" spans="2:10" ht="16.5" customHeight="1" outlineLevel="1" x14ac:dyDescent="0.25">
      <c r="B44" s="364" t="s">
        <v>35</v>
      </c>
      <c r="C44" s="365" t="s">
        <v>36</v>
      </c>
      <c r="D44" s="366" t="s">
        <v>112</v>
      </c>
      <c r="E44" s="367">
        <f>IF('2. Vstupní data on-premise '!D18="ANO",SWInfrastrukturaNakup,IF('2. Vstupní data on-premise '!D18="NE",IF(DelkaProjektu=1,SWInfrastrukturaNakup/DelkaProjektu,IF(DelkaProjektu=2,SWInfrastrukturaNakup/DelkaProjektu,IF(DelkaProjektu=3,SWInfrastrukturaNakup/DelkaProjektu,IF(DelkaProjektu=4,SWInfrastrukturaNakup/DelkaProjektu,IF(DelkaProjektu=5,SWInfrastrukturaNakup/DelkaProjektu)))))))</f>
        <v>0</v>
      </c>
      <c r="F44" s="367">
        <f>IF('2. Vstupní data on-premise '!D18="ANO",0,IF('2. Vstupní data on-premise '!D18="NE",IF(DelkaProjektu=1,0,IF(DelkaProjektu=2,SWInfrastrukturaNakup/DelkaProjektu,IF(DelkaProjektu=3,SWInfrastrukturaNakup/DelkaProjektu,IF(DelkaProjektu=4,SWInfrastrukturaNakup/DelkaProjektu,IF(DelkaProjektu=5,SWInfrastrukturaNakup/DelkaProjektu)))))))</f>
        <v>0</v>
      </c>
      <c r="G44" s="367">
        <f>IF('2. Vstupní data on-premise '!D18="ANO",0,IF('2. Vstupní data on-premise '!D18="NE",IF(DelkaProjektu=1,0,IF(DelkaProjektu=2,0,IF(DelkaProjektu=3,SWInfrastrukturaNakup/DelkaProjektu,IF(DelkaProjektu=4,SWInfrastrukturaNakup/DelkaProjektu,IF(DelkaProjektu=5,SWInfrastrukturaNakup/DelkaProjektu)))))))</f>
        <v>0</v>
      </c>
      <c r="H44" s="367">
        <f>IF('2. Vstupní data on-premise '!D18="ANO",0,IF('2. Vstupní data on-premise '!D18="NE",IF(DelkaProjektu=1,0,IF(DelkaProjektu=2,0,IF(DelkaProjektu=3,0,IF(DelkaProjektu=4,SWInfrastrukturaNakup/DelkaProjektu,IF(DelkaProjektu=5,SWInfrastrukturaNakup/DelkaProjektu)))))))</f>
        <v>0</v>
      </c>
      <c r="I44" s="367">
        <f>IF('2. Vstupní data on-premise '!D18="ANO",0,IF('2. Vstupní data on-premise '!D18="NE",IF(DelkaProjektu=1,0,IF(DelkaProjektu=2,0,IF(DelkaProjektu=3,0,IF(DelkaProjektu=4,0,IF(DelkaProjektu=5,SWInfrastrukturaNakup/DelkaProjektu)))))))</f>
        <v>0</v>
      </c>
      <c r="J44" s="367">
        <f t="shared" ref="J44:J59" si="8">SUM(E44:I44)</f>
        <v>0</v>
      </c>
    </row>
    <row r="45" spans="2:10" ht="15.75" customHeight="1" outlineLevel="1" x14ac:dyDescent="0.25">
      <c r="B45" s="364" t="s">
        <v>15</v>
      </c>
      <c r="C45" s="365" t="s">
        <v>37</v>
      </c>
      <c r="D45" s="366" t="s">
        <v>112</v>
      </c>
      <c r="E45" s="367">
        <f>IF('2. Vstupní data on-premise '!$D87="ANO",SWkoncovehoHW,IF('2. Vstupní data on-premise '!$D87="NE",IF(DelkaProjektu=1,SWkoncovehoHW/DelkaProjektu,IF(DelkaProjektu=2,SWkoncovehoHW/DelkaProjektu,IF(DelkaProjektu=3,SWkoncovehoHW/DelkaProjektu,IF(DelkaProjektu=4,SWkoncovehoHW/DelkaProjektu,IF(DelkaProjektu=5,SWkoncovehoHW/DelkaProjektu)))))))</f>
        <v>0</v>
      </c>
      <c r="F45" s="367">
        <f>IF('2. Vstupní data on-premise '!$D87="ANO",0,IF('2. Vstupní data on-premise '!$D87="NE",IF(DelkaProjektu=1,0,IF(DelkaProjektu=2,SWkoncovehoHW/DelkaProjektu,IF(DelkaProjektu=3,SWkoncovehoHW/DelkaProjektu,IF(DelkaProjektu=4,SWkoncovehoHW/DelkaProjektu,IF(DelkaProjektu=5,SWkoncovehoHW/DelkaProjektu)))))))</f>
        <v>0</v>
      </c>
      <c r="G45" s="367">
        <f>IF('2. Vstupní data on-premise '!$D87="ANO",0,IF('2. Vstupní data on-premise '!$D87="NE",IF(DelkaProjektu=1,0,IF(DelkaProjektu=2,0,IF(DelkaProjektu=3,SWkoncovehoHW/DelkaProjektu,IF(DelkaProjektu=4,SWkoncovehoHW/DelkaProjektu,IF(DelkaProjektu=5,SWkoncovehoHW/DelkaProjektu)))))))</f>
        <v>0</v>
      </c>
      <c r="H45" s="367">
        <f>IF('2. Vstupní data on-premise '!$D87="ANO",0,IF('2. Vstupní data on-premise '!$D87="NE",IF(DelkaProjektu=1,0,IF(DelkaProjektu=2,0,IF(DelkaProjektu=3,0,IF(DelkaProjektu=4,SWkoncovehoHW/DelkaProjektu,IF(DelkaProjektu=5,SWkoncovehoHW/DelkaProjektu)))))))</f>
        <v>0</v>
      </c>
      <c r="I45" s="367">
        <f>IF('2. Vstupní data on-premise '!$D87="ANO",0,IF('2. Vstupní data on-premise '!$D87="NE",IF(DelkaProjektu=1,0,IF(DelkaProjektu=2,0,IF(DelkaProjektu=3,0,IF(DelkaProjektu=4,0,IF(DelkaProjektu=5,SWkoncovehoHW/DelkaProjektu)))))))</f>
        <v>0</v>
      </c>
      <c r="J45" s="367">
        <f t="shared" si="8"/>
        <v>0</v>
      </c>
    </row>
    <row r="46" spans="2:10" ht="15.75" customHeight="1" x14ac:dyDescent="0.25">
      <c r="B46" s="352" t="s">
        <v>38</v>
      </c>
      <c r="C46" s="369" t="s">
        <v>39</v>
      </c>
      <c r="D46" s="354" t="s">
        <v>112</v>
      </c>
      <c r="E46" s="355">
        <f>IF('2. Vstupní data on-premise '!D22="ANO",VyvojSW,IF('2. Vstupní data on-premise '!D22="NE",IF(DelkaProjektu=1,VyvojSW/DelkaProjektu,IF(DelkaProjektu=2,VyvojSW/DelkaProjektu,IF(DelkaProjektu=3,VyvojSW/DelkaProjektu,IF(DelkaProjektu=4,VyvojSW/DelkaProjektu,IF(DelkaProjektu=5,VyvojSW/DelkaProjektu)))))))</f>
        <v>0</v>
      </c>
      <c r="F46" s="355">
        <f>IF('2. Vstupní data on-premise '!D22="ANO",0,IF('2. Vstupní data on-premise '!D22="NE",IF(DelkaProjektu=1,0,IF(DelkaProjektu=2,VyvojSW/DelkaProjektu,IF(DelkaProjektu=3,VyvojSW/DelkaProjektu,IF(DelkaProjektu=4,VyvojSW/DelkaProjektu,IF(DelkaProjektu=5,VyvojSW/DelkaProjektu)))))))</f>
        <v>0</v>
      </c>
      <c r="G46" s="355">
        <f>IF('2. Vstupní data on-premise '!D22="ANO",0,IF('2. Vstupní data on-premise '!D22="NE",IF(DelkaProjektu=1,0,IF(DelkaProjektu=2,0,IF(DelkaProjektu=3,VyvojSW/DelkaProjektu,IF(DelkaProjektu=4,VyvojSW/DelkaProjektu,IF(DelkaProjektu=5,VyvojSW/DelkaProjektu)))))))</f>
        <v>0</v>
      </c>
      <c r="H46" s="355">
        <f>IF('2. Vstupní data on-premise '!D22="ANO",0,IF('2. Vstupní data on-premise '!D22="NE",IF(DelkaProjektu=1,0,IF(DelkaProjektu=2,0,IF(DelkaProjektu=3,0,IF(DelkaProjektu=4,VyvojSW/DelkaProjektu,IF(DelkaProjektu=5,VyvojSW/DelkaProjektu)))))))</f>
        <v>0</v>
      </c>
      <c r="I46" s="355">
        <f>IF('2. Vstupní data on-premise '!D22="ANO",0,IF('2. Vstupní data on-premise '!D22="NE",IF(DelkaProjektu=1,0,IF(DelkaProjektu=2,0,IF(DelkaProjektu=3,0,IF(DelkaProjektu=4,0,IF(DelkaProjektu=5,VyvojSW/DelkaProjektu)))))))</f>
        <v>0</v>
      </c>
      <c r="J46" s="355">
        <f t="shared" si="8"/>
        <v>0</v>
      </c>
    </row>
    <row r="47" spans="2:10" ht="15.75" customHeight="1" x14ac:dyDescent="0.25">
      <c r="B47" s="352" t="s">
        <v>41</v>
      </c>
      <c r="C47" s="369" t="s">
        <v>40</v>
      </c>
      <c r="D47" s="354" t="s">
        <v>112</v>
      </c>
      <c r="E47" s="355">
        <f>SUM(E48:E50)</f>
        <v>0</v>
      </c>
      <c r="F47" s="355">
        <f t="shared" ref="F47:I47" si="9">SUM(F48:F50)</f>
        <v>0</v>
      </c>
      <c r="G47" s="355">
        <f t="shared" si="9"/>
        <v>0</v>
      </c>
      <c r="H47" s="355">
        <f t="shared" si="9"/>
        <v>0</v>
      </c>
      <c r="I47" s="355">
        <f t="shared" si="9"/>
        <v>0</v>
      </c>
      <c r="J47" s="355">
        <f t="shared" si="8"/>
        <v>0</v>
      </c>
    </row>
    <row r="48" spans="2:10" ht="15.75" customHeight="1" outlineLevel="1" x14ac:dyDescent="0.25">
      <c r="B48" s="364" t="s">
        <v>42</v>
      </c>
      <c r="C48" s="365" t="s">
        <v>44</v>
      </c>
      <c r="D48" s="366" t="s">
        <v>112</v>
      </c>
      <c r="E48" s="367">
        <f>IF('2. Vstupní data on-premise '!D36="ANO",AplikacniSWLicence,IF('2. Vstupní data on-premise '!D36="NE",IF(DelkaProjektu=1,AplikacniSWLicence/DelkaProjektu,IF(DelkaProjektu=2,AplikacniSWLicence/DelkaProjektu,IF(DelkaProjektu=3,AplikacniSWLicence/DelkaProjektu,IF(DelkaProjektu=4,AplikacniSWLicence/DelkaProjektu,IF(DelkaProjektu=5,AplikacniSWLicence/DelkaProjektu)))))))</f>
        <v>0</v>
      </c>
      <c r="F48" s="367">
        <f>IF('2. Vstupní data on-premise '!$D36="ANO",0,IF('2. Vstupní data on-premise '!$D36="NE",IF(DelkaProjektu=1,0,IF(DelkaProjektu=2,AplikacniSWLicence/DelkaProjektu,IF(DelkaProjektu=3,AplikacniSWLicence/DelkaProjektu,IF(DelkaProjektu=4,AplikacniSWLicence/DelkaProjektu,IF(DelkaProjektu=5,AplikacniSWLicence/DelkaProjektu)))))))</f>
        <v>0</v>
      </c>
      <c r="G48" s="367">
        <f>IF('2. Vstupní data on-premise '!$D36="ANO",0,IF('2. Vstupní data on-premise '!$D36="NE",IF(DelkaProjektu=1,0,IF(DelkaProjektu=2,0,IF(DelkaProjektu=3,AplikacniSWLicence/DelkaProjektu,IF(DelkaProjektu=4,AplikacniSWLicence/DelkaProjektu,IF(DelkaProjektu=5,AplikacniSWLicence/DelkaProjektu)))))))</f>
        <v>0</v>
      </c>
      <c r="H48" s="367">
        <f>IF('2. Vstupní data on-premise '!$D36="ANO",0,IF('2. Vstupní data on-premise '!$D36="NE",IF(DelkaProjektu=1,0,IF(DelkaProjektu=2,0,IF(DelkaProjektu=3,0,IF(DelkaProjektu=4,AplikacniSWLicence/DelkaProjektu,IF(DelkaProjektu=5,AplikacniSWLicence/DelkaProjektu)))))))</f>
        <v>0</v>
      </c>
      <c r="I48" s="367">
        <f>IF('2. Vstupní data on-premise '!$D36="ANO",0,IF('2. Vstupní data on-premise '!$D36="NE",IF(DelkaProjektu=1,0,IF(DelkaProjektu=2,0,IF(DelkaProjektu=3,0,IF(DelkaProjektu=4,0,IF(DelkaProjektu=5,AplikacniSWLicence/DelkaProjektu)))))))</f>
        <v>0</v>
      </c>
      <c r="J48" s="367">
        <f t="shared" si="8"/>
        <v>0</v>
      </c>
    </row>
    <row r="49" spans="2:12" ht="15.75" customHeight="1" outlineLevel="1" x14ac:dyDescent="0.25">
      <c r="B49" s="364" t="s">
        <v>43</v>
      </c>
      <c r="C49" s="365" t="s">
        <v>45</v>
      </c>
      <c r="D49" s="366" t="s">
        <v>112</v>
      </c>
      <c r="E49" s="367">
        <f>IF('2. Vstupní data on-premise '!$D177="ANO",VyvojNakup,IF('2. Vstupní data on-premise '!$D177="NE",IF(DelkaProjektu=1,VyvojNakup/DelkaProjektu,IF(DelkaProjektu=2,VyvojNakup/DelkaProjektu,IF(DelkaProjektu=3,VyvojNakup/DelkaProjektu,IF(DelkaProjektu=4,VyvojNakup/DelkaProjektu,IF(DelkaProjektu=5,VyvojNakup/DelkaProjektu)))))))</f>
        <v>0</v>
      </c>
      <c r="F49" s="356">
        <f>IF('2. Vstupní data on-premise '!$D177="ANO",0,IF('2. Vstupní data on-premise '!$D177="NE",IF(DelkaProjektu=1,0,IF(DelkaProjektu=2,VyvojNakup/DelkaProjektu,IF(DelkaProjektu=3,VyvojNakup/DelkaProjektu,IF(DelkaProjektu=4,VyvojNakup/DelkaProjektu,IF(DelkaProjektu=5,VyvojNakup/DelkaProjektu)))))))</f>
        <v>0</v>
      </c>
      <c r="G49" s="356">
        <f>IF('2. Vstupní data on-premise '!$D177="ANO",0,IF('2. Vstupní data on-premise '!$D177="NE",IF(DelkaProjektu=1,0,IF(DelkaProjektu=2,0,IF(DelkaProjektu=3,VyvojNakup/DelkaProjektu,IF(DelkaProjektu=4,VyvojNakup/DelkaProjektu,IF(DelkaProjektu=5,VyvojNakup/DelkaProjektu)))))))</f>
        <v>0</v>
      </c>
      <c r="H49" s="356">
        <f>IF('2. Vstupní data on-premise '!$D177="ANO",0,IF('2. Vstupní data on-premise '!$D177="NE",IF(DelkaProjektu=1,0,IF(DelkaProjektu=2,0,IF(DelkaProjektu=3,0,IF(DelkaProjektu=4,VyvojNakup/DelkaProjektu,IF(DelkaProjektu=5,VyvojNakup/DelkaProjektu)))))))</f>
        <v>0</v>
      </c>
      <c r="I49" s="356">
        <f>IF('2. Vstupní data on-premise '!$D177="ANO",0,IF('2. Vstupní data on-premise '!$D177="NE",IF(DelkaProjektu=1,0,IF(DelkaProjektu=2,0,IF(DelkaProjektu=3,0,IF(DelkaProjektu=4,0,IF(DelkaProjektu=5,VyvojNakup/DelkaProjektu)))))))</f>
        <v>0</v>
      </c>
      <c r="J49" s="367">
        <f t="shared" si="8"/>
        <v>0</v>
      </c>
    </row>
    <row r="50" spans="2:12" ht="15.75" customHeight="1" outlineLevel="1" x14ac:dyDescent="0.25">
      <c r="B50" s="364" t="s">
        <v>46</v>
      </c>
      <c r="C50" s="365" t="s">
        <v>47</v>
      </c>
      <c r="D50" s="366" t="s">
        <v>112</v>
      </c>
      <c r="E50" s="367">
        <f>IF('2. Vstupní data on-premise '!$D179="ANO",cenaVlastnihoVyvoje,IF('2. Vstupní data on-premise '!$D179="NE",IF(DelkaProjektu=1,cenaVlastnihoVyvoje/DelkaProjektu,IF(DelkaProjektu=2,cenaVlastnihoVyvoje/DelkaProjektu,IF(DelkaProjektu=3,cenaVlastnihoVyvoje/DelkaProjektu,IF(DelkaProjektu=4,cenaVlastnihoVyvoje/DelkaProjektu,IF(DelkaProjektu=5,cenaVlastnihoVyvoje/DelkaProjektu)))))))</f>
        <v>0</v>
      </c>
      <c r="F50" s="356">
        <f>IF('2. Vstupní data on-premise '!$D179="ANO",0,IF('2. Vstupní data on-premise '!$D179="NE",IF(DelkaProjektu=1,0,IF(DelkaProjektu=2,cenaVlastnihoVyvoje/DelkaProjektu,IF(DelkaProjektu=3,cenaVlastnihoVyvoje/DelkaProjektu,IF(DelkaProjektu=4,cenaVlastnihoVyvoje/DelkaProjektu,IF(DelkaProjektu=5,cenaVlastnihoVyvoje/DelkaProjektu)))))))</f>
        <v>0</v>
      </c>
      <c r="G50" s="356">
        <f>IF('2. Vstupní data on-premise '!$D179="ANO",0,IF('2. Vstupní data on-premise '!$D179="NE",IF(DelkaProjektu=1,0,IF(DelkaProjektu=2,0,IF(DelkaProjektu=3,cenaVlastnihoVyvoje/DelkaProjektu,IF(DelkaProjektu=4,cenaVlastnihoVyvoje/DelkaProjektu,IF(DelkaProjektu=5,cenaVlastnihoVyvoje/DelkaProjektu)))))))</f>
        <v>0</v>
      </c>
      <c r="H50" s="356">
        <f>IF('2. Vstupní data on-premise '!$D179="ANO",0,IF('2. Vstupní data on-premise '!$D179="NE",IF(DelkaProjektu=1,0,IF(DelkaProjektu=2,0,IF(DelkaProjektu=3,0,IF(DelkaProjektu=4,cenaVlastnihoVyvoje/DelkaProjektu,IF(DelkaProjektu=5,cenaVlastnihoVyvoje/DelkaProjektu)))))))</f>
        <v>0</v>
      </c>
      <c r="I50" s="356">
        <f>IF('2. Vstupní data on-premise '!$D179="ANO",0,IF('2. Vstupní data on-premise '!$D179="NE",IF(DelkaProjektu=1,0,IF(DelkaProjektu=2,0,IF(DelkaProjektu=3,0,IF(DelkaProjektu=4,0,IF(DelkaProjektu=5,cenaVlastnihoVyvoje/DelkaProjektu)))))))</f>
        <v>0</v>
      </c>
      <c r="J50" s="367">
        <f t="shared" si="8"/>
        <v>0</v>
      </c>
    </row>
    <row r="51" spans="2:12" ht="15.75" customHeight="1" x14ac:dyDescent="0.25">
      <c r="B51" s="352" t="s">
        <v>387</v>
      </c>
      <c r="C51" s="369" t="s">
        <v>384</v>
      </c>
      <c r="D51" s="354" t="s">
        <v>112</v>
      </c>
      <c r="E51" s="355">
        <f>SUM(E52:E53)</f>
        <v>0</v>
      </c>
      <c r="F51" s="355">
        <f t="shared" ref="F51:I51" si="10">SUM(F52:F53)</f>
        <v>0</v>
      </c>
      <c r="G51" s="355">
        <f t="shared" si="10"/>
        <v>0</v>
      </c>
      <c r="H51" s="355">
        <f t="shared" si="10"/>
        <v>0</v>
      </c>
      <c r="I51" s="355">
        <f t="shared" si="10"/>
        <v>0</v>
      </c>
      <c r="J51" s="355">
        <f>SUM(E51:I51)</f>
        <v>0</v>
      </c>
    </row>
    <row r="52" spans="2:12" ht="15.75" customHeight="1" outlineLevel="1" x14ac:dyDescent="0.25">
      <c r="B52" s="364" t="s">
        <v>388</v>
      </c>
      <c r="C52" s="365" t="s">
        <v>385</v>
      </c>
      <c r="D52" s="366" t="s">
        <v>112</v>
      </c>
      <c r="E52" s="367">
        <f>IF('2. Vstupní data on-premise '!$D41="ANO",HWappliance,IF('2. Vstupní data on-premise '!$D41="NE",IF(DelkaProjektu=1,HWappliance/DelkaProjektu,IF(DelkaProjektu=2,HWappliance/DelkaProjektu,IF(DelkaProjektu=3,HWappliance/DelkaProjektu,IF(DelkaProjektu=4,HWappliance/DelkaProjektu,IF(DelkaProjektu=5,HWappliance/DelkaProjektu)))))))</f>
        <v>0</v>
      </c>
      <c r="F52" s="367">
        <f>IF('2. Vstupní data on-premise '!$D41="ANO",0,IF('2. Vstupní data on-premise '!$D41="NE",IF(DelkaProjektu=1,0,IF(DelkaProjektu=2,HWappliance/DelkaProjektu,IF(DelkaProjektu=3,HWappliance/DelkaProjektu,IF(DelkaProjektu=4,HWappliance/DelkaProjektu,IF(DelkaProjektu=5,HWappliance/DelkaProjektu)))))))</f>
        <v>0</v>
      </c>
      <c r="G52" s="367">
        <f>IF('2. Vstupní data on-premise '!$D41="ANO",0,IF('2. Vstupní data on-premise '!$D41="NE",IF(DelkaProjektu=1,0,IF(DelkaProjektu=2,0,IF(DelkaProjektu=3,HWappliance/DelkaProjektu,IF(DelkaProjektu=4,HWappliance/DelkaProjektu,IF(DelkaProjektu=5,HWappliance/DelkaProjektu)))))))</f>
        <v>0</v>
      </c>
      <c r="H52" s="367">
        <f>IF('2. Vstupní data on-premise '!$D41="ANO",0,IF('2. Vstupní data on-premise '!$D41="NE",IF(DelkaProjektu=1,0,IF(DelkaProjektu=2,0,IF(DelkaProjektu=3,0,IF(DelkaProjektu=4,HWappliance/DelkaProjektu,IF(DelkaProjektu=5,HWappliance/DelkaProjektu)))))))</f>
        <v>0</v>
      </c>
      <c r="I52" s="367">
        <f>IF('2. Vstupní data on-premise '!$D41="ANO",0,IF('2. Vstupní data on-premise '!$D41="NE",IF(DelkaProjektu=1,0,IF(DelkaProjektu=2,0,IF(DelkaProjektu=3,0,IF(DelkaProjektu=4,0,IF(DelkaProjektu=5,HWappliance/DelkaProjektu)))))))</f>
        <v>0</v>
      </c>
      <c r="J52" s="367">
        <f t="shared" si="8"/>
        <v>0</v>
      </c>
    </row>
    <row r="53" spans="2:12" ht="15.75" customHeight="1" outlineLevel="1" x14ac:dyDescent="0.25">
      <c r="B53" s="364" t="s">
        <v>389</v>
      </c>
      <c r="C53" s="365" t="s">
        <v>386</v>
      </c>
      <c r="D53" s="366" t="s">
        <v>112</v>
      </c>
      <c r="E53" s="367">
        <f>IF('2. Vstupní data on-premise '!$D42="ANO",SWappliance,IF('2. Vstupní data on-premise '!$D42="NE",IF(DelkaProjektu=1,SWappliance/DelkaProjektu,IF(DelkaProjektu=2,SWappliance/DelkaProjektu,IF(DelkaProjektu=3,SWappliance/DelkaProjektu,IF(DelkaProjektu=4,SWappliance/DelkaProjektu,IF(DelkaProjektu=5,SWappliance/DelkaProjektu)))))))</f>
        <v>0</v>
      </c>
      <c r="F53" s="367">
        <f>IF('2. Vstupní data on-premise '!$D42="ANO",0,IF('2. Vstupní data on-premise '!$D42="NE",IF(DelkaProjektu=1,0,IF(DelkaProjektu=2,SWappliance/DelkaProjektu,IF(DelkaProjektu=3,SWappliance/DelkaProjektu,IF(DelkaProjektu=4,SWappliance/DelkaProjektu,IF(DelkaProjektu=5,SWappliance/DelkaProjektu)))))))</f>
        <v>0</v>
      </c>
      <c r="G53" s="367">
        <f>IF('2. Vstupní data on-premise '!$D42="ANO",0,IF('2. Vstupní data on-premise '!$D42="NE",IF(DelkaProjektu=1,0,IF(DelkaProjektu=2,0,IF(DelkaProjektu=3,SWappliance/DelkaProjektu,IF(DelkaProjektu=4,SWappliance/DelkaProjektu,IF(DelkaProjektu=5,SWappliance/DelkaProjektu)))))))</f>
        <v>0</v>
      </c>
      <c r="H53" s="367">
        <f>IF('2. Vstupní data on-premise '!$D42="ANO",0,IF('2. Vstupní data on-premise '!$D42="NE",IF(DelkaProjektu=1,0,IF(DelkaProjektu=2,0,IF(DelkaProjektu=3,0,IF(DelkaProjektu=4,SWappliance/DelkaProjektu,IF(DelkaProjektu=5,SWappliance/DelkaProjektu)))))))</f>
        <v>0</v>
      </c>
      <c r="I53" s="367">
        <f>IF('2. Vstupní data on-premise '!$D42="ANO",0,IF('2. Vstupní data on-premise '!$D42="NE",IF(DelkaProjektu=1,0,IF(DelkaProjektu=2,0,IF(DelkaProjektu=3,0,IF(DelkaProjektu=4,0,IF(DelkaProjektu=5,SWappliance/DelkaProjektu)))))))</f>
        <v>0</v>
      </c>
      <c r="J53" s="367">
        <f t="shared" si="8"/>
        <v>0</v>
      </c>
    </row>
    <row r="54" spans="2:12" ht="15.75" customHeight="1" x14ac:dyDescent="0.25">
      <c r="B54" s="352" t="s">
        <v>405</v>
      </c>
      <c r="C54" s="369" t="s">
        <v>406</v>
      </c>
      <c r="D54" s="354" t="s">
        <v>112</v>
      </c>
      <c r="E54" s="355">
        <f>IF('2. Vstupní data on-premise '!$D26="ANO",DatabazovySW,IF('2. Vstupní data on-premise '!$D26="NE",IF(DelkaProjektu=1,DatabazovySW/DelkaProjektu,IF(DelkaProjektu=2,DatabazovySW/DelkaProjektu,IF(DelkaProjektu=3,DatabazovySW/DelkaProjektu,IF(DelkaProjektu=4,DatabazovySW/DelkaProjektu,IF(DelkaProjektu=5,DatabazovySW/DelkaProjektu)))))))</f>
        <v>0</v>
      </c>
      <c r="F54" s="355">
        <f>IF('2. Vstupní data on-premise '!$D26="ANO",0,IF('2. Vstupní data on-premise '!$D26="NE",IF(DelkaProjektu=1,0,IF(DelkaProjektu=2,DatabazovySW/DelkaProjektu,IF(DelkaProjektu=3,DatabazovySW/DelkaProjektu,IF(DelkaProjektu=4,DatabazovySW/DelkaProjektu,IF(DelkaProjektu=5,DatabazovySW/DelkaProjektu)))))))</f>
        <v>0</v>
      </c>
      <c r="G54" s="355">
        <f>IF('2. Vstupní data on-premise '!$D26="ANO",0,IF('2. Vstupní data on-premise '!$D26="NE",IF(DelkaProjektu=1,0,IF(DelkaProjektu=2,0,IF(DelkaProjektu=3,DatabazovySW/DelkaProjektu,IF(DelkaProjektu=4,DatabazovySW/DelkaProjektu,IF(DelkaProjektu=5,DatabazovySW/DelkaProjektu)))))))</f>
        <v>0</v>
      </c>
      <c r="H54" s="355">
        <f>IF('2. Vstupní data on-premise '!$D26="ANO",0,IF('2. Vstupní data on-premise '!$D26="NE",IF(DelkaProjektu=1,0,IF(DelkaProjektu=2,0,IF(DelkaProjektu=3,0,IF(DelkaProjektu=4,DatabazovySW/DelkaProjektu,IF(DelkaProjektu=5,DatabazovySW/DelkaProjektu)))))))</f>
        <v>0</v>
      </c>
      <c r="I54" s="355">
        <f>IF('2. Vstupní data on-premise '!$D26="ANO",0,IF('2. Vstupní data on-premise '!$D26="NE",IF(DelkaProjektu=1,0,IF(DelkaProjektu=2,0,IF(DelkaProjektu=3,0,IF(DelkaProjektu=4,0,IF(DelkaProjektu=5,DatabazovySW/DelkaProjektu)))))))</f>
        <v>0</v>
      </c>
      <c r="J54" s="355">
        <f t="shared" si="8"/>
        <v>0</v>
      </c>
    </row>
    <row r="55" spans="2:12" ht="15.75" customHeight="1" x14ac:dyDescent="0.25">
      <c r="B55" s="352" t="s">
        <v>407</v>
      </c>
      <c r="C55" s="369" t="s">
        <v>399</v>
      </c>
      <c r="D55" s="354" t="s">
        <v>112</v>
      </c>
      <c r="E55" s="355">
        <f>SUM(E56:E57)</f>
        <v>0</v>
      </c>
      <c r="F55" s="355">
        <f t="shared" ref="F55:I55" si="11">SUM(F56:F57)</f>
        <v>0</v>
      </c>
      <c r="G55" s="355">
        <f t="shared" si="11"/>
        <v>0</v>
      </c>
      <c r="H55" s="355">
        <f t="shared" si="11"/>
        <v>0</v>
      </c>
      <c r="I55" s="355">
        <f t="shared" si="11"/>
        <v>0</v>
      </c>
      <c r="J55" s="355">
        <f>SUM(E55:I55)</f>
        <v>0</v>
      </c>
    </row>
    <row r="56" spans="2:12" ht="15.75" customHeight="1" outlineLevel="1" x14ac:dyDescent="0.25">
      <c r="B56" s="364" t="s">
        <v>408</v>
      </c>
      <c r="C56" s="131" t="s">
        <v>402</v>
      </c>
      <c r="D56" s="366" t="s">
        <v>112</v>
      </c>
      <c r="E56" s="367">
        <f>IF('2. Vstupní data on-premise '!$D30="ANO",IntegracniSW,IF('2. Vstupní data on-premise '!$D30="NE",IF(DelkaProjektu=1,IntegracniSW/DelkaProjektu,IF(DelkaProjektu=2,IntegracniSW/DelkaProjektu,IF(DelkaProjektu=3,IntegracniSW/DelkaProjektu,IF(DelkaProjektu=4,IntegracniSW/DelkaProjektu,IF(DelkaProjektu=5,IntegracniSW/DelkaProjektu)))))))</f>
        <v>0</v>
      </c>
      <c r="F56" s="367">
        <f>IF('2. Vstupní data on-premise '!$D30="ANO",0,IF('2. Vstupní data on-premise '!$D30="NE",IF(DelkaProjektu=1,0,IF(DelkaProjektu=2,IntegracniSW/DelkaProjektu,IF(DelkaProjektu=3,IntegracniSW/DelkaProjektu,IF(DelkaProjektu=4,IntegracniSW/DelkaProjektu,IF(DelkaProjektu=5,IntegracniSW/DelkaProjektu)))))))</f>
        <v>0</v>
      </c>
      <c r="G56" s="367">
        <f>IF('2. Vstupní data on-premise '!$D30="ANO",0,IF('2. Vstupní data on-premise '!$D30="NE",IF(DelkaProjektu=1,0,IF(DelkaProjektu=2,0,IF(DelkaProjektu=3,IntegracniSW/DelkaProjektu,IF(DelkaProjektu=4,IntegracniSW/DelkaProjektu,IF(DelkaProjektu=5,IntegracniSW/DelkaProjektu)))))))</f>
        <v>0</v>
      </c>
      <c r="H56" s="367">
        <f>IF('2. Vstupní data on-premise '!$D30="ANO",0,IF('2. Vstupní data on-premise '!$D30="NE",IF(DelkaProjektu=1,0,IF(DelkaProjektu=2,0,IF(DelkaProjektu=3,0,IF(DelkaProjektu=4,IntegracniSW/DelkaProjektu,IF(DelkaProjektu=5,IntegracniSW/DelkaProjektu)))))))</f>
        <v>0</v>
      </c>
      <c r="I56" s="367">
        <f>IF('2. Vstupní data on-premise '!$D30="ANO",0,IF('2. Vstupní data on-premise '!$D30="NE",IF(DelkaProjektu=1,0,IF(DelkaProjektu=2,0,IF(DelkaProjektu=3,0,IF(DelkaProjektu=4,0,IF(DelkaProjektu=5,IntegracniSW/DelkaProjektu)))))))</f>
        <v>0</v>
      </c>
      <c r="J56" s="367">
        <f t="shared" ref="J56:J57" si="12">SUM(E56:I56)</f>
        <v>0</v>
      </c>
    </row>
    <row r="57" spans="2:12" ht="15.75" customHeight="1" outlineLevel="1" x14ac:dyDescent="0.25">
      <c r="B57" s="364" t="s">
        <v>409</v>
      </c>
      <c r="C57" s="131" t="s">
        <v>208</v>
      </c>
      <c r="D57" s="366" t="s">
        <v>112</v>
      </c>
      <c r="E57" s="367">
        <f>IF('2. Vstupní data on-premise '!$D32="ANO",MiddleJinySW,IF('2. Vstupní data on-premise '!$D32="NE",IF(DelkaProjektu=1,MiddleJinySW/DelkaProjektu,IF(DelkaProjektu=2,MiddleJinySW/DelkaProjektu,IF(DelkaProjektu=3,MiddleJinySW/DelkaProjektu,IF(DelkaProjektu=4,MiddleJinySW/DelkaProjektu,IF(DelkaProjektu=5,MiddleJinySW/DelkaProjektu)))))))</f>
        <v>0</v>
      </c>
      <c r="F57" s="367">
        <f>IF('2. Vstupní data on-premise '!$D32="ANO",0,IF('2. Vstupní data on-premise '!$D32="NE",IF(DelkaProjektu=1,0,IF(DelkaProjektu=2,MiddleJinySW/DelkaProjektu,IF(DelkaProjektu=3,MiddleJinySW/DelkaProjektu,IF(DelkaProjektu=4,MiddleJinySW/DelkaProjektu,IF(DelkaProjektu=5,MiddleJinySW/DelkaProjektu)))))))</f>
        <v>0</v>
      </c>
      <c r="G57" s="367">
        <f>IF('2. Vstupní data on-premise '!$D32="ANO",0,IF('2. Vstupní data on-premise '!$D32="NE",IF(DelkaProjektu=1,0,IF(DelkaProjektu=2,0,IF(DelkaProjektu=3,MiddleJinySW/DelkaProjektu,IF(DelkaProjektu=4,MiddleJinySW/DelkaProjektu,IF(DelkaProjektu=5,MiddleJinySW/DelkaProjektu)))))))</f>
        <v>0</v>
      </c>
      <c r="H57" s="367">
        <f>IF('2. Vstupní data on-premise '!$D32="ANO",0,IF('2. Vstupní data on-premise '!$D32="NE",IF(DelkaProjektu=1,0,IF(DelkaProjektu=2,0,IF(DelkaProjektu=3,0,IF(DelkaProjektu=4,MiddleJinySW/DelkaProjektu,IF(DelkaProjektu=5,MiddleJinySW/DelkaProjektu)))))))</f>
        <v>0</v>
      </c>
      <c r="I57" s="367">
        <f>IF('2. Vstupní data on-premise '!$D32="ANO",0,IF('2. Vstupní data on-premise '!$D32="NE",IF(DelkaProjektu=1,0,IF(DelkaProjektu=2,0,IF(DelkaProjektu=3,0,IF(DelkaProjektu=4,0,IF(DelkaProjektu=5,MiddleJinySW/DelkaProjektu)))))))</f>
        <v>0</v>
      </c>
      <c r="J57" s="367">
        <f t="shared" si="12"/>
        <v>0</v>
      </c>
    </row>
    <row r="58" spans="2:12" ht="15.75" customHeight="1" x14ac:dyDescent="0.25">
      <c r="B58" s="371" t="s">
        <v>48</v>
      </c>
      <c r="C58" s="372" t="s">
        <v>49</v>
      </c>
      <c r="D58" s="372" t="s">
        <v>112</v>
      </c>
      <c r="E58" s="373">
        <f>SUM(E59:E71)</f>
        <v>0</v>
      </c>
      <c r="F58" s="373">
        <f t="shared" ref="F58:I58" si="13">SUM(F59:F71)</f>
        <v>0</v>
      </c>
      <c r="G58" s="373">
        <f t="shared" si="13"/>
        <v>0</v>
      </c>
      <c r="H58" s="373">
        <f t="shared" si="13"/>
        <v>0</v>
      </c>
      <c r="I58" s="373">
        <f t="shared" si="13"/>
        <v>0</v>
      </c>
      <c r="J58" s="373">
        <f t="shared" si="8"/>
        <v>0</v>
      </c>
    </row>
    <row r="59" spans="2:12" ht="15.75" customHeight="1" x14ac:dyDescent="0.25">
      <c r="B59" s="352" t="s">
        <v>50</v>
      </c>
      <c r="C59" s="369" t="s">
        <v>51</v>
      </c>
      <c r="D59" s="354" t="s">
        <v>112</v>
      </c>
      <c r="E59" s="355">
        <f>IF('2. Vstupní data on-premise '!$D$174="ANO",'2. Vstupní data on-premise '!$E$157*'2. Vstupní data on-premise '!$F$157,IF('2. Vstupní data on-premise '!$D$174="NE",IF(DelkaProjektu=1,('2. Vstupní data on-premise '!$E$157*'2. Vstupní data on-premise '!$F$157)/DelkaProjektu,IF(DelkaProjektu=2,('2. Vstupní data on-premise '!$E$157*'2. Vstupní data on-premise '!$F$157)/DelkaProjektu,IF(DelkaProjektu=3,('2. Vstupní data on-premise '!$E$157*'2. Vstupní data on-premise '!$F$157)/DelkaProjektu,IF(DelkaProjektu=4,('2. Vstupní data on-premise '!$E$157*'2. Vstupní data on-premise '!$F$157)/DelkaProjektu,IF(DelkaProjektu=5,('2. Vstupní data on-premise '!$E$157*'2. Vstupní data on-premise '!$F$157)/DelkaProjektu)))))))</f>
        <v>0</v>
      </c>
      <c r="F59" s="356">
        <f>IF('2. Vstupní data on-premise '!$D$174="ANO",0,IF('2. Vstupní data on-premise '!$D$174="NE",IF(DelkaProjektu=1,0,IF(DelkaProjektu=2,('2. Vstupní data on-premise '!$E$157*'2. Vstupní data on-premise '!$F$157)/DelkaProjektu,IF(DelkaProjektu=3,('2. Vstupní data on-premise '!$E$157*'2. Vstupní data on-premise '!$F$157)/DelkaProjektu,IF(DelkaProjektu=4,('2. Vstupní data on-premise '!$E$157*'2. Vstupní data on-premise '!$F$157)/DelkaProjektu,IF(DelkaProjektu=5,('2. Vstupní data on-premise '!$E$157*'2. Vstupní data on-premise '!$F$157)/DelkaProjektu)))))))</f>
        <v>0</v>
      </c>
      <c r="G59" s="356">
        <f>IF('2. Vstupní data on-premise '!$D$174="ANO",0,IF('2. Vstupní data on-premise '!$D$174="NE",IF(DelkaProjektu=1,0,IF(DelkaProjektu=2,0,IF(DelkaProjektu=3,('2. Vstupní data on-premise '!$E$157*'2. Vstupní data on-premise '!$F$157)/DelkaProjektu,IF(DelkaProjektu=4,('2. Vstupní data on-premise '!$E$157*'2. Vstupní data on-premise '!$F$157)/DelkaProjektu,IF(DelkaProjektu=5,('2. Vstupní data on-premise '!$E$157*'2. Vstupní data on-premise '!$F$157)/DelkaProjektu)))))))</f>
        <v>0</v>
      </c>
      <c r="H59" s="356">
        <f>IF('2. Vstupní data on-premise '!$D$174="ANO",0,IF('2. Vstupní data on-premise '!$D$174="NE",IF(DelkaProjektu=1,0,IF(DelkaProjektu=2,0,IF(DelkaProjektu=3,0,IF(DelkaProjektu=4,('2. Vstupní data on-premise '!$E$157*'2. Vstupní data on-premise '!$F$157)/DelkaProjektu,IF(DelkaProjektu=5,('2. Vstupní data on-premise '!$E$157*'2. Vstupní data on-premise '!$F$157)/DelkaProjektu)))))))</f>
        <v>0</v>
      </c>
      <c r="I59" s="356">
        <f>IF('2. Vstupní data on-premise '!$D$174="ANO",0,IF('2. Vstupní data on-premise '!$D$174="NE",IF(DelkaProjektu=1,0,IF(DelkaProjektu=2,0,IF(DelkaProjektu=3,0,IF(DelkaProjektu=4,0,IF(DelkaProjektu=5,('2. Vstupní data on-premise '!$E$157*'2. Vstupní data on-premise '!$F$157)/DelkaProjektu)))))))</f>
        <v>0</v>
      </c>
      <c r="J59" s="374">
        <f t="shared" si="8"/>
        <v>0</v>
      </c>
      <c r="L59" s="375"/>
    </row>
    <row r="60" spans="2:12" ht="15.75" customHeight="1" x14ac:dyDescent="0.25">
      <c r="B60" s="352" t="s">
        <v>52</v>
      </c>
      <c r="C60" s="369" t="s">
        <v>54</v>
      </c>
      <c r="D60" s="354" t="s">
        <v>112</v>
      </c>
      <c r="E60" s="355">
        <f>IF('2. Vstupní data on-premise '!$D$174="ANO",(('2. Vstupní data on-premise '!$E$158*'2. Vstupní data on-premise '!$F$158)+('2. Vstupní data on-premise '!$E$159*'2. Vstupní data on-premise '!$F$159)),IF('2. Vstupní data on-premise '!$D$174="NE",IF(DelkaProjektu=1,(('2. Vstupní data on-premise '!$E$158*'2. Vstupní data on-premise '!$F$158)+('2. Vstupní data on-premise '!$E$159*'2. Vstupní data on-premise '!$F$159))/DelkaProjektu,IF(DelkaProjektu=2,(('2. Vstupní data on-premise '!$E$158*'2. Vstupní data on-premise '!$F$158)+('2. Vstupní data on-premise '!$E$159*'2. Vstupní data on-premise '!$F$159))/DelkaProjektu,IF(DelkaProjektu=3,(('2. Vstupní data on-premise '!$E$158*'2. Vstupní data on-premise '!$F$158)+('2. Vstupní data on-premise '!$E$159*'2. Vstupní data on-premise '!$F$159))/DelkaProjektu,IF(DelkaProjektu=4,(('2. Vstupní data on-premise '!$E$158*'2. Vstupní data on-premise '!$F$158)+('2. Vstupní data on-premise '!$E$159*'2. Vstupní data on-premise '!$F$159))/DelkaProjektu,IF(DelkaProjektu=5,(('2. Vstupní data on-premise '!$E$158*'2. Vstupní data on-premise '!$F$158)+('2. Vstupní data on-premise '!$E$159*'2. Vstupní data on-premise '!$F$159))/DelkaProjektu)))))))</f>
        <v>0</v>
      </c>
      <c r="F60" s="356">
        <f>IF('2. Vstupní data on-premise '!$D$174="ANO",0,IF('2. Vstupní data on-premise '!$D$174="NE",IF(DelkaProjektu=1,0,IF(DelkaProjektu=2,(('2. Vstupní data on-premise '!$E$158*'2. Vstupní data on-premise '!$F$158)+('2. Vstupní data on-premise '!$E$159*'2. Vstupní data on-premise '!$F$159))/DelkaProjektu,IF(DelkaProjektu=3,(('2. Vstupní data on-premise '!$E$158*'2. Vstupní data on-premise '!$F$158)+('2. Vstupní data on-premise '!$E$159*'2. Vstupní data on-premise '!$F$159))/DelkaProjektu,IF(DelkaProjektu=4,(('2. Vstupní data on-premise '!$E$158*'2. Vstupní data on-premise '!$F$158)+('2. Vstupní data on-premise '!$E$159*'2. Vstupní data on-premise '!$F$159))/DelkaProjektu,IF(DelkaProjektu=5,(('2. Vstupní data on-premise '!$E$158*'2. Vstupní data on-premise '!$F$158)+('2. Vstupní data on-premise '!$E$159*'2. Vstupní data on-premise '!$F$159))/DelkaProjektu)))))))</f>
        <v>0</v>
      </c>
      <c r="G60" s="356">
        <f>IF('2. Vstupní data on-premise '!$D$174="ANO",0,IF('2. Vstupní data on-premise '!$D$174="NE",IF(DelkaProjektu=1,0,IF(DelkaProjektu=2,0,IF(DelkaProjektu=3,(('2. Vstupní data on-premise '!$E$158*'2. Vstupní data on-premise '!$F$158)+('2. Vstupní data on-premise '!$E$159*'2. Vstupní data on-premise '!$F$159))/DelkaProjektu,IF(DelkaProjektu=4,(('2. Vstupní data on-premise '!$E$158*'2. Vstupní data on-premise '!$F$158)+('2. Vstupní data on-premise '!$E$159*'2. Vstupní data on-premise '!$F$159))/DelkaProjektu,IF(DelkaProjektu=5,(('2. Vstupní data on-premise '!$E$158*'2. Vstupní data on-premise '!$F$158)+('2. Vstupní data on-premise '!$E$159*'2. Vstupní data on-premise '!$F$159))/DelkaProjektu)))))))</f>
        <v>0</v>
      </c>
      <c r="H60" s="356">
        <f>IF('2. Vstupní data on-premise '!$D$174="ANO",0,IF('2. Vstupní data on-premise '!$D$174="NE",IF(DelkaProjektu=1,0,IF(DelkaProjektu=2,0,IF(DelkaProjektu=3,0,IF(DelkaProjektu=4,(('2. Vstupní data on-premise '!$E$158*'2. Vstupní data on-premise '!$F$158)+('2. Vstupní data on-premise '!$E$159*'2. Vstupní data on-premise '!$F$159))/DelkaProjektu,IF(DelkaProjektu=5,(('2. Vstupní data on-premise '!$E$158*'2. Vstupní data on-premise '!$F$158)+('2. Vstupní data on-premise '!$E$159*'2. Vstupní data on-premise '!$F$159))/DelkaProjektu)))))))</f>
        <v>0</v>
      </c>
      <c r="I60" s="356">
        <f>IF('2. Vstupní data on-premise '!$D$174="ANO",0,IF('2. Vstupní data on-premise '!$D$174="NE",IF(DelkaProjektu=1,0,IF(DelkaProjektu=2,0,IF(DelkaProjektu=3,0,IF(DelkaProjektu=4,0,IF(DelkaProjektu=5,(('2. Vstupní data on-premise '!$E$158*'2. Vstupní data on-premise '!$F$158)+('2. Vstupní data on-premise '!$E$159*'2. Vstupní data on-premise '!$F$159))/DelkaProjektu)))))))</f>
        <v>0</v>
      </c>
      <c r="J60" s="374">
        <f t="shared" ref="J60:J71" si="14">SUM(E60:I60)</f>
        <v>0</v>
      </c>
      <c r="L60" s="375"/>
    </row>
    <row r="61" spans="2:12" ht="15.75" customHeight="1" x14ac:dyDescent="0.25">
      <c r="B61" s="352" t="s">
        <v>55</v>
      </c>
      <c r="C61" s="369" t="s">
        <v>53</v>
      </c>
      <c r="D61" s="354" t="s">
        <v>112</v>
      </c>
      <c r="E61" s="355">
        <f>IF('2. Vstupní data on-premise '!$D$174="ANO",('2. Vstupní data on-premise '!$E$160*'2. Vstupní data on-premise '!$F$160),IF('2. Vstupní data on-premise '!$D$174="NE",IF(DelkaProjektu=1,('2. Vstupní data on-premise '!$E$160*'2. Vstupní data on-premise '!$F$160)/DelkaProjektu,IF(DelkaProjektu=2,('2. Vstupní data on-premise '!$E$160*'2. Vstupní data on-premise '!$F$160)/DelkaProjektu,IF(DelkaProjektu=3,('2. Vstupní data on-premise '!$E$160*'2. Vstupní data on-premise '!$F$160)/DelkaProjektu,IF(DelkaProjektu=4,('2. Vstupní data on-premise '!$E$160*'2. Vstupní data on-premise '!$F$160)/DelkaProjektu,IF(DelkaProjektu=5,('2. Vstupní data on-premise '!$E$160*'2. Vstupní data on-premise '!$F$160)/DelkaProjektu)))))))</f>
        <v>0</v>
      </c>
      <c r="F61" s="356">
        <f>IF('2. Vstupní data on-premise '!$D$174="ANO",0,IF('2. Vstupní data on-premise '!$D$174="NE",IF(DelkaProjektu=1,0,IF(DelkaProjektu=2,('2. Vstupní data on-premise '!$E$160*'2. Vstupní data on-premise '!$F$160)/DelkaProjektu,IF(DelkaProjektu=3,('2. Vstupní data on-premise '!$E$160*'2. Vstupní data on-premise '!$F$160)/DelkaProjektu,IF(DelkaProjektu=4,('2. Vstupní data on-premise '!$E$160*'2. Vstupní data on-premise '!$F$160)/DelkaProjektu,IF(DelkaProjektu=5,('2. Vstupní data on-premise '!$E$160*'2. Vstupní data on-premise '!$F$160)/DelkaProjektu)))))))</f>
        <v>0</v>
      </c>
      <c r="G61" s="356">
        <f>IF('2. Vstupní data on-premise '!$D$174="ANO",0,IF('2. Vstupní data on-premise '!$D$174="NE",IF(DelkaProjektu=1,0,IF(DelkaProjektu=2,0,IF(DelkaProjektu=3,('2. Vstupní data on-premise '!$E$160*'2. Vstupní data on-premise '!$F$160)/DelkaProjektu,IF(DelkaProjektu=4,('2. Vstupní data on-premise '!$E$160*'2. Vstupní data on-premise '!$F$160)/DelkaProjektu,IF(DelkaProjektu=5,('2. Vstupní data on-premise '!$E$160*'2. Vstupní data on-premise '!$F$160)/DelkaProjektu)))))))</f>
        <v>0</v>
      </c>
      <c r="H61" s="356">
        <f>IF('2. Vstupní data on-premise '!$D$174="ANO",0,IF('2. Vstupní data on-premise '!$D$174="NE",IF(DelkaProjektu=1,0,IF(DelkaProjektu=2,0,IF(DelkaProjektu=3,0,IF(DelkaProjektu=4,('2. Vstupní data on-premise '!$E$160*'2. Vstupní data on-premise '!$F$160)/DelkaProjektu,IF(DelkaProjektu=5,('2. Vstupní data on-premise '!$E$160*'2. Vstupní data on-premise '!$F$160)/DelkaProjektu)))))))</f>
        <v>0</v>
      </c>
      <c r="I61" s="356">
        <f>IF('2. Vstupní data on-premise '!$D$174="ANO",0,IF('2. Vstupní data on-premise '!$D$174="NE",IF(DelkaProjektu=1,0,IF(DelkaProjektu=2,0,IF(DelkaProjektu=3,0,IF(DelkaProjektu=4,0,IF(DelkaProjektu=5,('2. Vstupní data on-premise '!$E$160*'2. Vstupní data on-premise '!$F$160)/DelkaProjektu)))))))</f>
        <v>0</v>
      </c>
      <c r="J61" s="374">
        <f t="shared" si="14"/>
        <v>0</v>
      </c>
      <c r="L61" s="375"/>
    </row>
    <row r="62" spans="2:12" ht="15.75" customHeight="1" x14ac:dyDescent="0.25">
      <c r="B62" s="352" t="s">
        <v>56</v>
      </c>
      <c r="C62" s="369" t="s">
        <v>154</v>
      </c>
      <c r="D62" s="354" t="s">
        <v>112</v>
      </c>
      <c r="E62" s="355">
        <f>IF('2. Vstupní data on-premise '!$D$174="ANO",('2. Vstupní data on-premise '!$E$161*'2. Vstupní data on-premise '!$F$161),IF('2. Vstupní data on-premise '!$D$174="NE",IF(DelkaProjektu=1,('2. Vstupní data on-premise '!$E$161*'2. Vstupní data on-premise '!$F$161)/DelkaProjektu,IF(DelkaProjektu=2,('2. Vstupní data on-premise '!$E$161*'2. Vstupní data on-premise '!$F$161)/DelkaProjektu,IF(DelkaProjektu=3,('2. Vstupní data on-premise '!$E$161*'2. Vstupní data on-premise '!$F$161)/DelkaProjektu,IF(DelkaProjektu=4,('2. Vstupní data on-premise '!$E$161*'2. Vstupní data on-premise '!$F$161)/DelkaProjektu,IF(DelkaProjektu=5,('2. Vstupní data on-premise '!$E$161*'2. Vstupní data on-premise '!$F$161)/DelkaProjektu)))))))</f>
        <v>0</v>
      </c>
      <c r="F62" s="356">
        <f>IF('2. Vstupní data on-premise '!$D$174="ANO",0,IF('2. Vstupní data on-premise '!$D$174="NE",IF(DelkaProjektu=1,0,IF(DelkaProjektu=2,('2. Vstupní data on-premise '!$E$161*'2. Vstupní data on-premise '!$F$161)/DelkaProjektu,IF(DelkaProjektu=3,('2. Vstupní data on-premise '!$E$161*'2. Vstupní data on-premise '!$F$161)/DelkaProjektu,IF(DelkaProjektu=4,('2. Vstupní data on-premise '!$E$161*'2. Vstupní data on-premise '!$F$161)/DelkaProjektu,IF(DelkaProjektu=5,('2. Vstupní data on-premise '!$E$161*'2. Vstupní data on-premise '!$F$161)/DelkaProjektu)))))))</f>
        <v>0</v>
      </c>
      <c r="G62" s="356">
        <f>IF('2. Vstupní data on-premise '!$D$174="ANO",0,IF('2. Vstupní data on-premise '!$D$174="NE",IF(DelkaProjektu=1,0,IF(DelkaProjektu=2,0,IF(DelkaProjektu=3,('2. Vstupní data on-premise '!$E$161*'2. Vstupní data on-premise '!$F$161)/DelkaProjektu,IF(DelkaProjektu=4,('2. Vstupní data on-premise '!$E$161*'2. Vstupní data on-premise '!$F$161)/DelkaProjektu,IF(DelkaProjektu=5,('2. Vstupní data on-premise '!$E$161*'2. Vstupní data on-premise '!$F$161)/DelkaProjektu)))))))</f>
        <v>0</v>
      </c>
      <c r="H62" s="356">
        <f>IF('2. Vstupní data on-premise '!$D$174="ANO",0,IF('2. Vstupní data on-premise '!$D$174="NE",IF(DelkaProjektu=1,0,IF(DelkaProjektu=2,0,IF(DelkaProjektu=3,0,IF(DelkaProjektu=4,('2. Vstupní data on-premise '!$E$161*'2. Vstupní data on-premise '!$F$161)/DelkaProjektu,IF(DelkaProjektu=5,('2. Vstupní data on-premise '!$E$161*'2. Vstupní data on-premise '!$F$161)/DelkaProjektu)))))))</f>
        <v>0</v>
      </c>
      <c r="I62" s="356">
        <f>IF('2. Vstupní data on-premise '!$D$174="ANO",0,IF('2. Vstupní data on-premise '!$D$174="NE",IF(DelkaProjektu=1,0,IF(DelkaProjektu=2,0,IF(DelkaProjektu=3,0,IF(DelkaProjektu=4,0,IF(DelkaProjektu=5,('2. Vstupní data on-premise '!$E$161*'2. Vstupní data on-premise '!$F$161)/DelkaProjektu)))))))</f>
        <v>0</v>
      </c>
      <c r="J62" s="374">
        <f t="shared" si="14"/>
        <v>0</v>
      </c>
      <c r="L62" s="375"/>
    </row>
    <row r="63" spans="2:12" ht="15.75" customHeight="1" x14ac:dyDescent="0.25">
      <c r="B63" s="352" t="s">
        <v>57</v>
      </c>
      <c r="C63" s="369" t="s">
        <v>115</v>
      </c>
      <c r="D63" s="354" t="s">
        <v>112</v>
      </c>
      <c r="E63" s="355">
        <f>IF('2. Vstupní data on-premise '!$D$174="ANO",(('2. Vstupní data on-premise '!$E$162*'2. Vstupní data on-premise '!$F$162)+('2. Vstupní data on-premise '!$E$163*'2. Vstupní data on-premise '!$F$163)),IF('2. Vstupní data on-premise '!$D$174="NE",IF(DelkaProjektu=1,(('2. Vstupní data on-premise '!$E$162*'2. Vstupní data on-premise '!$F$162)+('2. Vstupní data on-premise '!$E$163*'2. Vstupní data on-premise '!$F$163))/DelkaProjektu,IF(DelkaProjektu=2,(('2. Vstupní data on-premise '!$E$162*'2. Vstupní data on-premise '!$F$162)+('2. Vstupní data on-premise '!$E$163*'2. Vstupní data on-premise '!$F$163))/DelkaProjektu,IF(DelkaProjektu=3,(('2. Vstupní data on-premise '!$E$162*'2. Vstupní data on-premise '!$F$162)+('2. Vstupní data on-premise '!$E$163*'2. Vstupní data on-premise '!$F$163))/DelkaProjektu,IF(DelkaProjektu=4,(('2. Vstupní data on-premise '!$E$162*'2. Vstupní data on-premise '!$F$162)+('2. Vstupní data on-premise '!$E$163*'2. Vstupní data on-premise '!$F$163))/DelkaProjektu,IF(DelkaProjektu=5,(('2. Vstupní data on-premise '!$E$162*'2. Vstupní data on-premise '!$F$162)+('2. Vstupní data on-premise '!$E$163*'2. Vstupní data on-premise '!$F$163))/DelkaProjektu)))))))</f>
        <v>0</v>
      </c>
      <c r="F63" s="356">
        <f>IF('2. Vstupní data on-premise '!$D$174="ANO",0,IF('2. Vstupní data on-premise '!$D$174="NE",IF(DelkaProjektu=1,0,IF(DelkaProjektu=2,(('2. Vstupní data on-premise '!$E$162*'2. Vstupní data on-premise '!$F$162)+('2. Vstupní data on-premise '!$E$163*'2. Vstupní data on-premise '!$F$163))/DelkaProjektu,IF(DelkaProjektu=3,(('2. Vstupní data on-premise '!$E$162*'2. Vstupní data on-premise '!$F$162)+('2. Vstupní data on-premise '!$E$163*'2. Vstupní data on-premise '!$F$163))/DelkaProjektu,IF(DelkaProjektu=4,(('2. Vstupní data on-premise '!$E$162*'2. Vstupní data on-premise '!$F$162)+('2. Vstupní data on-premise '!$E$163*'2. Vstupní data on-premise '!$F$163))/DelkaProjektu,IF(DelkaProjektu=5,(('2. Vstupní data on-premise '!$E$162*'2. Vstupní data on-premise '!$F$162)+('2. Vstupní data on-premise '!$E$163*'2. Vstupní data on-premise '!$F$163))/DelkaProjektu)))))))</f>
        <v>0</v>
      </c>
      <c r="G63" s="356">
        <f>IF('2. Vstupní data on-premise '!$D$174="ANO",0,IF('2. Vstupní data on-premise '!$D$174="NE",IF(DelkaProjektu=1,0,IF(DelkaProjektu=2,0,IF(DelkaProjektu=3,(('2. Vstupní data on-premise '!$E$162*'2. Vstupní data on-premise '!$F$162)+('2. Vstupní data on-premise '!$E$163*'2. Vstupní data on-premise '!$F$163))/DelkaProjektu,IF(DelkaProjektu=4,(('2. Vstupní data on-premise '!$E$162*'2. Vstupní data on-premise '!$F$162)+('2. Vstupní data on-premise '!$E$163*'2. Vstupní data on-premise '!$F$163))/DelkaProjektu,IF(DelkaProjektu=5,(('2. Vstupní data on-premise '!$E$162*'2. Vstupní data on-premise '!$F$162)+('2. Vstupní data on-premise '!$E$163*'2. Vstupní data on-premise '!$F$163))/DelkaProjektu)))))))</f>
        <v>0</v>
      </c>
      <c r="H63" s="356">
        <f>IF('2. Vstupní data on-premise '!$D$174="ANO",0,IF('2. Vstupní data on-premise '!$D$174="NE",IF(DelkaProjektu=1,0,IF(DelkaProjektu=2,0,IF(DelkaProjektu=3,0,IF(DelkaProjektu=4,(('2. Vstupní data on-premise '!$E$162*'2. Vstupní data on-premise '!$F$162)+('2. Vstupní data on-premise '!$E$163*'2. Vstupní data on-premise '!$F$163))/DelkaProjektu,IF(DelkaProjektu=5,(('2. Vstupní data on-premise '!$E$162*'2. Vstupní data on-premise '!$F$162)+('2. Vstupní data on-premise '!$E$163*'2. Vstupní data on-premise '!$F$163))/DelkaProjektu)))))))</f>
        <v>0</v>
      </c>
      <c r="I63" s="356">
        <f>IF('2. Vstupní data on-premise '!$D$174="ANO",0,IF('2. Vstupní data on-premise '!$D$174="NE",IF(DelkaProjektu=1,0,IF(DelkaProjektu=2,0,IF(DelkaProjektu=3,0,IF(DelkaProjektu=4,0,IF(DelkaProjektu=5,(('2. Vstupní data on-premise '!$E$162*'2. Vstupní data on-premise '!$F$162)+('2. Vstupní data on-premise '!$E$163*'2. Vstupní data on-premise '!$F$163))/DelkaProjektu)))))))</f>
        <v>0</v>
      </c>
      <c r="J63" s="374">
        <f t="shared" si="14"/>
        <v>0</v>
      </c>
      <c r="L63" s="375"/>
    </row>
    <row r="64" spans="2:12" ht="15.75" customHeight="1" x14ac:dyDescent="0.25">
      <c r="B64" s="352" t="s">
        <v>58</v>
      </c>
      <c r="C64" s="369" t="s">
        <v>59</v>
      </c>
      <c r="D64" s="354" t="s">
        <v>112</v>
      </c>
      <c r="E64" s="355">
        <f>IF('2. Vstupní data on-premise '!$D$174="ANO",('2. Vstupní data on-premise '!$E$164*'2. Vstupní data on-premise '!$F$164),IF('2. Vstupní data on-premise '!$D$174="NE",IF(DelkaProjektu=1,('2. Vstupní data on-premise '!$E$164*'2. Vstupní data on-premise '!$F$164)/DelkaProjektu,IF(DelkaProjektu=2,('2. Vstupní data on-premise '!$E$164*'2. Vstupní data on-premise '!$F$164)/DelkaProjektu,IF(DelkaProjektu=3,('2. Vstupní data on-premise '!$E$164*'2. Vstupní data on-premise '!$F$164)/DelkaProjektu,IF(DelkaProjektu=4,('2. Vstupní data on-premise '!$E$164*'2. Vstupní data on-premise '!$F$164)/DelkaProjektu,IF(DelkaProjektu=5,('2. Vstupní data on-premise '!$E$164*'2. Vstupní data on-premise '!$F$164)/DelkaProjektu)))))))</f>
        <v>0</v>
      </c>
      <c r="F64" s="356">
        <f>IF('2. Vstupní data on-premise '!$D$174="ANO",0,IF('2. Vstupní data on-premise '!$D$174="NE",IF(DelkaProjektu=1,0,IF(DelkaProjektu=2,('2. Vstupní data on-premise '!$E$164*'2. Vstupní data on-premise '!$F$164)/DelkaProjektu,IF(DelkaProjektu=3,('2. Vstupní data on-premise '!$E$164*'2. Vstupní data on-premise '!$F$164)/DelkaProjektu,IF(DelkaProjektu=4,('2. Vstupní data on-premise '!$E$164*'2. Vstupní data on-premise '!$F$164)/DelkaProjektu,IF(DelkaProjektu=5,('2. Vstupní data on-premise '!$E$164*'2. Vstupní data on-premise '!$F$164)/DelkaProjektu)))))))</f>
        <v>0</v>
      </c>
      <c r="G64" s="356">
        <f>IF('2. Vstupní data on-premise '!$D$174="ANO",0,IF('2. Vstupní data on-premise '!$D$174="NE",IF(DelkaProjektu=1,0,IF(DelkaProjektu=2,0,IF(DelkaProjektu=3,('2. Vstupní data on-premise '!$E$164*'2. Vstupní data on-premise '!$F$164)/DelkaProjektu,IF(DelkaProjektu=4,('2. Vstupní data on-premise '!$E$164*'2. Vstupní data on-premise '!$F$164)/DelkaProjektu,IF(DelkaProjektu=5,('2. Vstupní data on-premise '!$E$164*'2. Vstupní data on-premise '!$F$164)/DelkaProjektu)))))))</f>
        <v>0</v>
      </c>
      <c r="H64" s="356">
        <f>IF('2. Vstupní data on-premise '!$D$174="ANO",0,IF('2. Vstupní data on-premise '!$D$174="NE",IF(DelkaProjektu=1,0,IF(DelkaProjektu=2,0,IF(DelkaProjektu=3,0,IF(DelkaProjektu=4,('2. Vstupní data on-premise '!$E$164*'2. Vstupní data on-premise '!$F$164)/DelkaProjektu,IF(DelkaProjektu=5,('2. Vstupní data on-premise '!$E$164*'2. Vstupní data on-premise '!$F$164)/DelkaProjektu)))))))</f>
        <v>0</v>
      </c>
      <c r="I64" s="356">
        <f>IF('2. Vstupní data on-premise '!$D$174="ANO",0,IF('2. Vstupní data on-premise '!$D$174="NE",IF(DelkaProjektu=1,0,IF(DelkaProjektu=2,0,IF(DelkaProjektu=3,0,IF(DelkaProjektu=4,0,IF(DelkaProjektu=5,('2. Vstupní data on-premise '!$E$164*'2. Vstupní data on-premise '!$F$164)/DelkaProjektu)))))))</f>
        <v>0</v>
      </c>
      <c r="J64" s="374">
        <f t="shared" si="14"/>
        <v>0</v>
      </c>
      <c r="L64" s="375"/>
    </row>
    <row r="65" spans="2:12" ht="15" customHeight="1" x14ac:dyDescent="0.25">
      <c r="B65" s="352" t="s">
        <v>61</v>
      </c>
      <c r="C65" s="369" t="s">
        <v>60</v>
      </c>
      <c r="D65" s="354" t="s">
        <v>112</v>
      </c>
      <c r="E65" s="355">
        <f>IF('2. Vstupní data on-premise '!$D$174="ANO",('2. Vstupní data on-premise '!$E$165*'2. Vstupní data on-premise '!$F$165),IF('2. Vstupní data on-premise '!$D$174="NE",IF(DelkaProjektu=1,('2. Vstupní data on-premise '!$E$165*'2. Vstupní data on-premise '!$F$165)/DelkaProjektu,IF(DelkaProjektu=2,('2. Vstupní data on-premise '!$E$165*'2. Vstupní data on-premise '!$F$165)/DelkaProjektu,IF(DelkaProjektu=3,('2. Vstupní data on-premise '!$E$165*'2. Vstupní data on-premise '!$F$165)/DelkaProjektu,IF(DelkaProjektu=4,('2. Vstupní data on-premise '!$E$165*'2. Vstupní data on-premise '!$F$165)/DelkaProjektu,IF(DelkaProjektu=5,('2. Vstupní data on-premise '!$E$165*'2. Vstupní data on-premise '!$F$165)/DelkaProjektu)))))))</f>
        <v>0</v>
      </c>
      <c r="F65" s="356">
        <f>IF('2. Vstupní data on-premise '!$D$174="ANO",0,IF('2. Vstupní data on-premise '!$D$174="NE",IF(DelkaProjektu=1,0,IF(DelkaProjektu=2,('2. Vstupní data on-premise '!$E$165*'2. Vstupní data on-premise '!$F$165)/DelkaProjektu,IF(DelkaProjektu=3,('2. Vstupní data on-premise '!$E$165*'2. Vstupní data on-premise '!$F$165)/DelkaProjektu,IF(DelkaProjektu=4,('2. Vstupní data on-premise '!$E$165*'2. Vstupní data on-premise '!$F$165)/DelkaProjektu,IF(DelkaProjektu=5,('2. Vstupní data on-premise '!$E$165*'2. Vstupní data on-premise '!$F$165)/DelkaProjektu)))))))</f>
        <v>0</v>
      </c>
      <c r="G65" s="356">
        <f>IF('2. Vstupní data on-premise '!$D$174="ANO",0,IF('2. Vstupní data on-premise '!$D$174="NE",IF(DelkaProjektu=1,0,IF(DelkaProjektu=2,0,IF(DelkaProjektu=3,('2. Vstupní data on-premise '!$E$165*'2. Vstupní data on-premise '!$F$165)/DelkaProjektu,IF(DelkaProjektu=4,('2. Vstupní data on-premise '!$E$165*'2. Vstupní data on-premise '!$F$165)/DelkaProjektu,IF(DelkaProjektu=5,('2. Vstupní data on-premise '!$E$165*'2. Vstupní data on-premise '!$F$165)/DelkaProjektu)))))))</f>
        <v>0</v>
      </c>
      <c r="H65" s="356">
        <f>IF('2. Vstupní data on-premise '!$D$174="ANO",0,IF('2. Vstupní data on-premise '!$D$174="NE",IF(DelkaProjektu=1,0,IF(DelkaProjektu=2,0,IF(DelkaProjektu=3,0,IF(DelkaProjektu=4,('2. Vstupní data on-premise '!$E$165*'2. Vstupní data on-premise '!$F$165)/DelkaProjektu,IF(DelkaProjektu=5,('2. Vstupní data on-premise '!$E$165*'2. Vstupní data on-premise '!$F$165)/DelkaProjektu)))))))</f>
        <v>0</v>
      </c>
      <c r="I65" s="356">
        <f>IF('2. Vstupní data on-premise '!$D$174="ANO",0,IF('2. Vstupní data on-premise '!$D$174="NE",IF(DelkaProjektu=1,0,IF(DelkaProjektu=2,0,IF(DelkaProjektu=3,0,IF(DelkaProjektu=4,0,IF(DelkaProjektu=5,('2. Vstupní data on-premise '!$E$165*'2. Vstupní data on-premise '!$F$165)/DelkaProjektu)))))))</f>
        <v>0</v>
      </c>
      <c r="J65" s="374">
        <f t="shared" si="14"/>
        <v>0</v>
      </c>
      <c r="L65" s="375"/>
    </row>
    <row r="66" spans="2:12" ht="15" customHeight="1" x14ac:dyDescent="0.25">
      <c r="B66" s="352" t="s">
        <v>62</v>
      </c>
      <c r="C66" s="369" t="s">
        <v>63</v>
      </c>
      <c r="D66" s="354" t="s">
        <v>112</v>
      </c>
      <c r="E66" s="355">
        <f>IF('2. Vstupní data on-premise '!$D$174="ANO",('2. Vstupní data on-premise '!$E$166*'2. Vstupní data on-premise '!$F$166),IF('2. Vstupní data on-premise '!$D$174="NE",IF(DelkaProjektu=1,('2. Vstupní data on-premise '!$E$166*'2. Vstupní data on-premise '!$F$166)/DelkaProjektu,IF(DelkaProjektu=2,('2. Vstupní data on-premise '!$E$166*'2. Vstupní data on-premise '!$F$166)/DelkaProjektu,IF(DelkaProjektu=3,('2. Vstupní data on-premise '!$E$166*'2. Vstupní data on-premise '!$F$166)/DelkaProjektu,IF(DelkaProjektu=4,('2. Vstupní data on-premise '!$E$166*'2. Vstupní data on-premise '!$F$166)/DelkaProjektu,IF(DelkaProjektu=5,('2. Vstupní data on-premise '!$E$166*'2. Vstupní data on-premise '!$F$166)/DelkaProjektu)))))))</f>
        <v>0</v>
      </c>
      <c r="F66" s="356">
        <f>IF('2. Vstupní data on-premise '!$D$174="ANO",0,IF('2. Vstupní data on-premise '!$D$174="NE",IF(DelkaProjektu=1,0,IF(DelkaProjektu=2,('2. Vstupní data on-premise '!$E$166*'2. Vstupní data on-premise '!$F$166)/DelkaProjektu,IF(DelkaProjektu=3,('2. Vstupní data on-premise '!$E$166*'2. Vstupní data on-premise '!$F$166)/DelkaProjektu,IF(DelkaProjektu=4,('2. Vstupní data on-premise '!$E$166*'2. Vstupní data on-premise '!$F$166)/DelkaProjektu,IF(DelkaProjektu=5,('2. Vstupní data on-premise '!$E$166*'2. Vstupní data on-premise '!$F$166)/DelkaProjektu)))))))</f>
        <v>0</v>
      </c>
      <c r="G66" s="356">
        <f>IF('2. Vstupní data on-premise '!$D$174="ANO",0,IF('2. Vstupní data on-premise '!$D$174="NE",IF(DelkaProjektu=1,0,IF(DelkaProjektu=2,0,IF(DelkaProjektu=3,('2. Vstupní data on-premise '!$E$166*'2. Vstupní data on-premise '!$F$166)/DelkaProjektu,IF(DelkaProjektu=4,('2. Vstupní data on-premise '!$E$166*'2. Vstupní data on-premise '!$F$166)/DelkaProjektu,IF(DelkaProjektu=5,('2. Vstupní data on-premise '!$E$166*'2. Vstupní data on-premise '!$F$166)/DelkaProjektu)))))))</f>
        <v>0</v>
      </c>
      <c r="H66" s="356">
        <f>IF('2. Vstupní data on-premise '!$D$174="ANO",0,IF('2. Vstupní data on-premise '!$D$174="NE",IF(DelkaProjektu=1,0,IF(DelkaProjektu=2,0,IF(DelkaProjektu=3,0,IF(DelkaProjektu=4,('2. Vstupní data on-premise '!$E$166*'2. Vstupní data on-premise '!$F$166)/DelkaProjektu,IF(DelkaProjektu=5,('2. Vstupní data on-premise '!$E$166*'2. Vstupní data on-premise '!$F$166)/DelkaProjektu)))))))</f>
        <v>0</v>
      </c>
      <c r="I66" s="356">
        <f>IF('2. Vstupní data on-premise '!$D$174="ANO",0,IF('2. Vstupní data on-premise '!$D$174="NE",IF(DelkaProjektu=1,0,IF(DelkaProjektu=2,0,IF(DelkaProjektu=3,0,IF(DelkaProjektu=4,0,IF(DelkaProjektu=5,('2. Vstupní data on-premise '!$E$166*'2. Vstupní data on-premise '!$F$166)/DelkaProjektu)))))))</f>
        <v>0</v>
      </c>
      <c r="J66" s="374">
        <f t="shared" si="14"/>
        <v>0</v>
      </c>
      <c r="L66" s="375"/>
    </row>
    <row r="67" spans="2:12" ht="15" customHeight="1" x14ac:dyDescent="0.25">
      <c r="B67" s="352" t="s">
        <v>64</v>
      </c>
      <c r="C67" s="369" t="s">
        <v>65</v>
      </c>
      <c r="D67" s="354" t="s">
        <v>112</v>
      </c>
      <c r="E67" s="355">
        <f>IF('2. Vstupní data on-premise '!$D$174="ANO",('2. Vstupní data on-premise '!$E$167*'2. Vstupní data on-premise '!$F$167),IF('2. Vstupní data on-premise '!$D$174="NE",IF(DelkaProjektu=1,('2. Vstupní data on-premise '!$E$167*'2. Vstupní data on-premise '!$F$167)/DelkaProjektu,IF(DelkaProjektu=2,('2. Vstupní data on-premise '!$E$167*'2. Vstupní data on-premise '!$F$167)/DelkaProjektu,IF(DelkaProjektu=3,('2. Vstupní data on-premise '!$E$167*'2. Vstupní data on-premise '!$F$167)/DelkaProjektu,IF(DelkaProjektu=4,('2. Vstupní data on-premise '!$E$167*'2. Vstupní data on-premise '!$F$167)/DelkaProjektu,IF(DelkaProjektu=5,('2. Vstupní data on-premise '!$E$167*'2. Vstupní data on-premise '!$F$167)/DelkaProjektu)))))))</f>
        <v>0</v>
      </c>
      <c r="F67" s="356">
        <f>IF('2. Vstupní data on-premise '!$D$174="ANO",0,IF('2. Vstupní data on-premise '!$D$174="NE",IF(DelkaProjektu=1,0,IF(DelkaProjektu=2,('2. Vstupní data on-premise '!$E$167*'2. Vstupní data on-premise '!$F$167)/DelkaProjektu,IF(DelkaProjektu=3,('2. Vstupní data on-premise '!$E$167*'2. Vstupní data on-premise '!$F$167)/DelkaProjektu,IF(DelkaProjektu=4,('2. Vstupní data on-premise '!$E$167*'2. Vstupní data on-premise '!$F$167)/DelkaProjektu,IF(DelkaProjektu=5,('2. Vstupní data on-premise '!$E$167*'2. Vstupní data on-premise '!$F$167)/DelkaProjektu)))))))</f>
        <v>0</v>
      </c>
      <c r="G67" s="356">
        <f>IF('2. Vstupní data on-premise '!$D$174="ANO",0,IF('2. Vstupní data on-premise '!$D$174="NE",IF(DelkaProjektu=1,0,IF(DelkaProjektu=2,0,IF(DelkaProjektu=3,('2. Vstupní data on-premise '!$E$167*'2. Vstupní data on-premise '!$F$167)/DelkaProjektu,IF(DelkaProjektu=4,('2. Vstupní data on-premise '!$E$167*'2. Vstupní data on-premise '!$F$167)/DelkaProjektu,IF(DelkaProjektu=5,('2. Vstupní data on-premise '!$E$167*'2. Vstupní data on-premise '!$F$167)/DelkaProjektu)))))))</f>
        <v>0</v>
      </c>
      <c r="H67" s="356">
        <f>IF('2. Vstupní data on-premise '!$D$174="ANO",0,IF('2. Vstupní data on-premise '!$D$174="NE",IF(DelkaProjektu=1,0,IF(DelkaProjektu=2,0,IF(DelkaProjektu=3,0,IF(DelkaProjektu=4,('2. Vstupní data on-premise '!$E$167*'2. Vstupní data on-premise '!$F$167)/DelkaProjektu,IF(DelkaProjektu=5,('2. Vstupní data on-premise '!$E$167*'2. Vstupní data on-premise '!$F$167)/DelkaProjektu)))))))</f>
        <v>0</v>
      </c>
      <c r="I67" s="356">
        <f>IF('2. Vstupní data on-premise '!$D$174="ANO",0,IF('2. Vstupní data on-premise '!$D$174="NE",IF(DelkaProjektu=1,0,IF(DelkaProjektu=2,0,IF(DelkaProjektu=3,0,IF(DelkaProjektu=4,0,IF(DelkaProjektu=5,('2. Vstupní data on-premise '!$E$167*'2. Vstupní data on-premise '!$F$167)/DelkaProjektu)))))))</f>
        <v>0</v>
      </c>
      <c r="J67" s="374">
        <f t="shared" si="14"/>
        <v>0</v>
      </c>
      <c r="L67" s="375"/>
    </row>
    <row r="68" spans="2:12" ht="15" customHeight="1" x14ac:dyDescent="0.25">
      <c r="B68" s="352" t="s">
        <v>66</v>
      </c>
      <c r="C68" s="369" t="s">
        <v>67</v>
      </c>
      <c r="D68" s="354" t="s">
        <v>112</v>
      </c>
      <c r="E68" s="355">
        <f>IF('2. Vstupní data on-premise '!$D$174="ANO",('2. Vstupní data on-premise '!$E$168*'2. Vstupní data on-premise '!$F$168),IF('2. Vstupní data on-premise '!$D$174="NE",IF(DelkaProjektu=1,('2. Vstupní data on-premise '!$E$168*'2. Vstupní data on-premise '!$F$168)/DelkaProjektu,IF(DelkaProjektu=2,('2. Vstupní data on-premise '!$E$168*'2. Vstupní data on-premise '!$F$168)/DelkaProjektu,IF(DelkaProjektu=3,('2. Vstupní data on-premise '!$E$168*'2. Vstupní data on-premise '!$F$168)/DelkaProjektu,IF(DelkaProjektu=4,('2. Vstupní data on-premise '!$E$168*'2. Vstupní data on-premise '!$F$168)/DelkaProjektu,IF(DelkaProjektu=5,('2. Vstupní data on-premise '!$E$168*'2. Vstupní data on-premise '!$F$168)/DelkaProjektu)))))))</f>
        <v>0</v>
      </c>
      <c r="F68" s="356">
        <f>IF('2. Vstupní data on-premise '!$D$174="ANO",0,IF('2. Vstupní data on-premise '!$D$174="NE",IF(DelkaProjektu=1,0,IF(DelkaProjektu=2,('2. Vstupní data on-premise '!$E$168*'2. Vstupní data on-premise '!$F$168)/DelkaProjektu,IF(DelkaProjektu=3,('2. Vstupní data on-premise '!$E$168*'2. Vstupní data on-premise '!$F$168)/DelkaProjektu,IF(DelkaProjektu=4,('2. Vstupní data on-premise '!$E$168*'2. Vstupní data on-premise '!$F$168)/DelkaProjektu,IF(DelkaProjektu=5,('2. Vstupní data on-premise '!$E$168*'2. Vstupní data on-premise '!$F$168)/DelkaProjektu)))))))</f>
        <v>0</v>
      </c>
      <c r="G68" s="356">
        <f>IF('2. Vstupní data on-premise '!$D$174="ANO",0,IF('2. Vstupní data on-premise '!$D$174="NE",IF(DelkaProjektu=1,0,IF(DelkaProjektu=2,0,IF(DelkaProjektu=3,('2. Vstupní data on-premise '!$E$168*'2. Vstupní data on-premise '!$F$168)/DelkaProjektu,IF(DelkaProjektu=4,('2. Vstupní data on-premise '!$E$168*'2. Vstupní data on-premise '!$F$168)/DelkaProjektu,IF(DelkaProjektu=5,('2. Vstupní data on-premise '!$E$168*'2. Vstupní data on-premise '!$F$168)/DelkaProjektu)))))))</f>
        <v>0</v>
      </c>
      <c r="H68" s="356">
        <f>IF('2. Vstupní data on-premise '!$D$174="ANO",0,IF('2. Vstupní data on-premise '!$D$174="NE",IF(DelkaProjektu=1,0,IF(DelkaProjektu=2,0,IF(DelkaProjektu=3,0,IF(DelkaProjektu=4,('2. Vstupní data on-premise '!$E$168*'2. Vstupní data on-premise '!$F$168)/DelkaProjektu,IF(DelkaProjektu=5,('2. Vstupní data on-premise '!$E$168*'2. Vstupní data on-premise '!$F$168)/DelkaProjektu)))))))</f>
        <v>0</v>
      </c>
      <c r="I68" s="356">
        <f>IF('2. Vstupní data on-premise '!$D$174="ANO",0,IF('2. Vstupní data on-premise '!$D$174="NE",IF(DelkaProjektu=1,0,IF(DelkaProjektu=2,0,IF(DelkaProjektu=3,0,IF(DelkaProjektu=4,0,IF(DelkaProjektu=5,('2. Vstupní data on-premise '!$E$168*'2. Vstupní data on-premise '!$F$168)/DelkaProjektu)))))))</f>
        <v>0</v>
      </c>
      <c r="J68" s="374">
        <f t="shared" si="14"/>
        <v>0</v>
      </c>
      <c r="L68" s="375"/>
    </row>
    <row r="69" spans="2:12" ht="15" customHeight="1" x14ac:dyDescent="0.25">
      <c r="B69" s="352" t="s">
        <v>68</v>
      </c>
      <c r="C69" s="369" t="s">
        <v>69</v>
      </c>
      <c r="D69" s="354" t="s">
        <v>112</v>
      </c>
      <c r="E69" s="355">
        <f>IF('2. Vstupní data on-premise '!$D$174="ANO",('2. Vstupní data on-premise '!$E$169*'2. Vstupní data on-premise '!$F$169),IF('2. Vstupní data on-premise '!$D$174="NE",IF(DelkaProjektu=1,('2. Vstupní data on-premise '!$E$169*'2. Vstupní data on-premise '!$F$169)/DelkaProjektu,IF(DelkaProjektu=2,('2. Vstupní data on-premise '!$E$169*'2. Vstupní data on-premise '!$F$169)/DelkaProjektu,IF(DelkaProjektu=3,('2. Vstupní data on-premise '!$E$169*'2. Vstupní data on-premise '!$F$169)/DelkaProjektu,IF(DelkaProjektu=4,('2. Vstupní data on-premise '!$E$169*'2. Vstupní data on-premise '!$F$169)/DelkaProjektu,IF(DelkaProjektu=5,('2. Vstupní data on-premise '!$E$169*'2. Vstupní data on-premise '!$F$169)/DelkaProjektu)))))))</f>
        <v>0</v>
      </c>
      <c r="F69" s="356">
        <f>IF('2. Vstupní data on-premise '!$D$174="ANO",0,IF('2. Vstupní data on-premise '!$D$174="NE",IF(DelkaProjektu=1,0,IF(DelkaProjektu=2,('2. Vstupní data on-premise '!$E$169*'2. Vstupní data on-premise '!$F$169)/DelkaProjektu,IF(DelkaProjektu=3,('2. Vstupní data on-premise '!$E$169*'2. Vstupní data on-premise '!$F$169)/DelkaProjektu,IF(DelkaProjektu=4,('2. Vstupní data on-premise '!$E$169*'2. Vstupní data on-premise '!$F$169)/DelkaProjektu,IF(DelkaProjektu=5,('2. Vstupní data on-premise '!$E$169*'2. Vstupní data on-premise '!$F$169)/DelkaProjektu)))))))</f>
        <v>0</v>
      </c>
      <c r="G69" s="356">
        <f>IF('2. Vstupní data on-premise '!$D$174="ANO",0,IF('2. Vstupní data on-premise '!$D$174="NE",IF(DelkaProjektu=1,0,IF(DelkaProjektu=2,0,IF(DelkaProjektu=3,('2. Vstupní data on-premise '!$E$169*'2. Vstupní data on-premise '!$F$169)/DelkaProjektu,IF(DelkaProjektu=4,('2. Vstupní data on-premise '!$E$169*'2. Vstupní data on-premise '!$F$169)/DelkaProjektu,IF(DelkaProjektu=5,('2. Vstupní data on-premise '!$E$169*'2. Vstupní data on-premise '!$F$169)/DelkaProjektu)))))))</f>
        <v>0</v>
      </c>
      <c r="H69" s="356">
        <f>IF('2. Vstupní data on-premise '!$D$174="ANO",0,IF('2. Vstupní data on-premise '!$D$174="NE",IF(DelkaProjektu=1,0,IF(DelkaProjektu=2,0,IF(DelkaProjektu=3,0,IF(DelkaProjektu=4,('2. Vstupní data on-premise '!$E$169*'2. Vstupní data on-premise '!$F$169)/DelkaProjektu,IF(DelkaProjektu=5,('2. Vstupní data on-premise '!$E$169*'2. Vstupní data on-premise '!$F$169)/DelkaProjektu)))))))</f>
        <v>0</v>
      </c>
      <c r="I69" s="356">
        <f>IF('2. Vstupní data on-premise '!$D$174="ANO",0,IF('2. Vstupní data on-premise '!$D$174="NE",IF(DelkaProjektu=1,0,IF(DelkaProjektu=2,0,IF(DelkaProjektu=3,0,IF(DelkaProjektu=4,0,IF(DelkaProjektu=5,('2. Vstupní data on-premise '!$E$169*'2. Vstupní data on-premise '!$F$169)/DelkaProjektu)))))))</f>
        <v>0</v>
      </c>
      <c r="J69" s="374">
        <f t="shared" si="14"/>
        <v>0</v>
      </c>
      <c r="L69" s="375"/>
    </row>
    <row r="70" spans="2:12" ht="15" customHeight="1" x14ac:dyDescent="0.25">
      <c r="B70" s="352" t="s">
        <v>283</v>
      </c>
      <c r="C70" s="369" t="s">
        <v>258</v>
      </c>
      <c r="D70" s="354" t="s">
        <v>112</v>
      </c>
      <c r="E70" s="355">
        <f>IF('2. Vstupní data on-premise '!$D$174="ANO",('2. Vstupní data on-premise '!$E$170*'2. Vstupní data on-premise '!$F$170),IF('2. Vstupní data on-premise '!$D$174="NE",IF(DelkaProjektu=1,('2. Vstupní data on-premise '!$E$170*'2. Vstupní data on-premise '!$F$170)/DelkaProjektu,IF(DelkaProjektu=2,('2. Vstupní data on-premise '!$E$170*'2. Vstupní data on-premise '!$F$170)/DelkaProjektu,IF(DelkaProjektu=3,('2. Vstupní data on-premise '!$E$170*'2. Vstupní data on-premise '!$F$170)/DelkaProjektu,IF(DelkaProjektu=4,('2. Vstupní data on-premise '!$E$170*'2. Vstupní data on-premise '!$F$170)/DelkaProjektu,IF(DelkaProjektu=5,('2. Vstupní data on-premise '!$E$170*'2. Vstupní data on-premise '!$F$170)/DelkaProjektu)))))))</f>
        <v>0</v>
      </c>
      <c r="F70" s="356">
        <f>IF('2. Vstupní data on-premise '!$D$174="ANO",0,IF('2. Vstupní data on-premise '!$D$174="NE",IF(DelkaProjektu=1,0,IF(DelkaProjektu=2,('2. Vstupní data on-premise '!$E$170*'2. Vstupní data on-premise '!$F$170)/DelkaProjektu,IF(DelkaProjektu=3,('2. Vstupní data on-premise '!$E$170*'2. Vstupní data on-premise '!$F$170)/DelkaProjektu,IF(DelkaProjektu=4,('2. Vstupní data on-premise '!$E$170*'2. Vstupní data on-premise '!$F$170)/DelkaProjektu,IF(DelkaProjektu=5,('2. Vstupní data on-premise '!$E$170*'2. Vstupní data on-premise '!$F$170)/DelkaProjektu)))))))</f>
        <v>0</v>
      </c>
      <c r="G70" s="356">
        <f>IF('2. Vstupní data on-premise '!$D$174="ANO",0,IF('2. Vstupní data on-premise '!$D$174="NE",IF(DelkaProjektu=1,0,IF(DelkaProjektu=2,0,IF(DelkaProjektu=3,('2. Vstupní data on-premise '!$E$170*'2. Vstupní data on-premise '!$F$170)/DelkaProjektu,IF(DelkaProjektu=4,('2. Vstupní data on-premise '!$E$170*'2. Vstupní data on-premise '!$F$170)/DelkaProjektu,IF(DelkaProjektu=5,('2. Vstupní data on-premise '!$E$170*'2. Vstupní data on-premise '!$F$170)/DelkaProjektu)))))))</f>
        <v>0</v>
      </c>
      <c r="H70" s="356">
        <f>IF('2. Vstupní data on-premise '!$D$174="ANO",0,IF('2. Vstupní data on-premise '!$D$174="NE",IF(DelkaProjektu=1,0,IF(DelkaProjektu=2,0,IF(DelkaProjektu=3,0,IF(DelkaProjektu=4,('2. Vstupní data on-premise '!$E$170*'2. Vstupní data on-premise '!$F$170)/DelkaProjektu,IF(DelkaProjektu=5,('2. Vstupní data on-premise '!$E$170*'2. Vstupní data on-premise '!$F$170)/DelkaProjektu)))))))</f>
        <v>0</v>
      </c>
      <c r="I70" s="356">
        <f>IF('2. Vstupní data on-premise '!$D$174="ANO",0,IF('2. Vstupní data on-premise '!$D$174="NE",IF(DelkaProjektu=1,0,IF(DelkaProjektu=2,0,IF(DelkaProjektu=3,0,IF(DelkaProjektu=4,0,IF(DelkaProjektu=5,('2. Vstupní data on-premise '!$E$170*'2. Vstupní data on-premise '!$F$170)/DelkaProjektu)))))))</f>
        <v>0</v>
      </c>
      <c r="J70" s="374">
        <f t="shared" si="14"/>
        <v>0</v>
      </c>
      <c r="L70" s="375"/>
    </row>
    <row r="71" spans="2:12" ht="15" customHeight="1" x14ac:dyDescent="0.25">
      <c r="B71" s="352" t="s">
        <v>284</v>
      </c>
      <c r="C71" s="369" t="s">
        <v>289</v>
      </c>
      <c r="D71" s="354" t="s">
        <v>112</v>
      </c>
      <c r="E71" s="355">
        <f>IF('2. Vstupní data on-premise '!$D$174="ANO",ExterKonzultaceAnalyza,IF('2. Vstupní data on-premise '!$D$174="NE",IF(DelkaProjektu=1,ExterKonzultaceAnalyza/DelkaProjektu,IF(DelkaProjektu=2,ExterKonzultaceAnalyza/DelkaProjektu,IF(DelkaProjektu=3,ExterKonzultaceAnalyza/DelkaProjektu,IF(DelkaProjektu=4,ExterKonzultaceAnalyza/DelkaProjektu,IF(DelkaProjektu=5,ExterKonzultaceAnalyza/DelkaProjektu)))))))</f>
        <v>0</v>
      </c>
      <c r="F71" s="356">
        <f>IF('2. Vstupní data on-premise '!$D$174="ANO",0,IF('2. Vstupní data on-premise '!$D$174="NE",IF(DelkaProjektu=1,0,IF(DelkaProjektu=2,ExterKonzultaceAnalyza/DelkaProjektu,IF(DelkaProjektu=3,ExterKonzultaceAnalyza/DelkaProjektu,IF(DelkaProjektu=4,ExterKonzultaceAnalyza/DelkaProjektu,IF(DelkaProjektu=5,ExterKonzultaceAnalyza/DelkaProjektu)))))))</f>
        <v>0</v>
      </c>
      <c r="G71" s="356">
        <f>IF('2. Vstupní data on-premise '!$D$174="ANO",0,IF('2. Vstupní data on-premise '!$D$174="NE",IF(DelkaProjektu=1,0,IF(DelkaProjektu=2,0,IF(DelkaProjektu=3,ExterKonzultaceAnalyza/DelkaProjektu,IF(DelkaProjektu=4,ExterKonzultaceAnalyza/DelkaProjektu,IF(DelkaProjektu=5,ExterKonzultaceAnalyza/DelkaProjektu)))))))</f>
        <v>0</v>
      </c>
      <c r="H71" s="356">
        <f>IF('2. Vstupní data on-premise '!$D$174="ANO",0,IF('2. Vstupní data on-premise '!$D$174="NE",IF(DelkaProjektu=1,0,IF(DelkaProjektu=2,0,IF(DelkaProjektu=3,0,IF(DelkaProjektu=4,ExterKonzultaceAnalyza/DelkaProjektu,IF(DelkaProjektu=5,ExterKonzultaceAnalyza/DelkaProjektu)))))))</f>
        <v>0</v>
      </c>
      <c r="I71" s="356">
        <f>IF('2. Vstupní data on-premise '!$D$174="ANO",0,IF('2. Vstupní data on-premise '!$D$174="NE",IF(DelkaProjektu=1,0,IF(DelkaProjektu=2,0,IF(DelkaProjektu=3,0,IF(DelkaProjektu=4,0,IF(DelkaProjektu=5,ExterKonzultaceAnalyza/DelkaProjektu)))))))</f>
        <v>0</v>
      </c>
      <c r="J71" s="374">
        <f t="shared" si="14"/>
        <v>0</v>
      </c>
      <c r="L71" s="375"/>
    </row>
    <row r="72" spans="2:12" ht="15" customHeight="1" x14ac:dyDescent="0.25">
      <c r="B72" s="371" t="s">
        <v>70</v>
      </c>
      <c r="C72" s="372" t="s">
        <v>71</v>
      </c>
      <c r="D72" s="372" t="s">
        <v>112</v>
      </c>
      <c r="E72" s="373">
        <f>E73+E82+E93</f>
        <v>0</v>
      </c>
      <c r="F72" s="373">
        <f t="shared" ref="F72:I72" si="15">F73+F82+F93</f>
        <v>0</v>
      </c>
      <c r="G72" s="373">
        <f t="shared" si="15"/>
        <v>0</v>
      </c>
      <c r="H72" s="373">
        <f t="shared" si="15"/>
        <v>0</v>
      </c>
      <c r="I72" s="373">
        <f t="shared" si="15"/>
        <v>0</v>
      </c>
      <c r="J72" s="373">
        <f>SUM(E72:I72)</f>
        <v>0</v>
      </c>
    </row>
    <row r="73" spans="2:12" ht="15" customHeight="1" x14ac:dyDescent="0.25">
      <c r="B73" s="352" t="s">
        <v>72</v>
      </c>
      <c r="C73" s="369" t="s">
        <v>73</v>
      </c>
      <c r="D73" s="354" t="s">
        <v>112</v>
      </c>
      <c r="E73" s="355">
        <f>SUM(E74:E79)</f>
        <v>0</v>
      </c>
      <c r="F73" s="355">
        <f t="shared" ref="F73:I73" si="16">SUM(F74:F79)</f>
        <v>0</v>
      </c>
      <c r="G73" s="355">
        <f t="shared" si="16"/>
        <v>0</v>
      </c>
      <c r="H73" s="355">
        <f t="shared" si="16"/>
        <v>0</v>
      </c>
      <c r="I73" s="355">
        <f t="shared" si="16"/>
        <v>0</v>
      </c>
      <c r="J73" s="355">
        <f>SUM(E73:I73)</f>
        <v>0</v>
      </c>
    </row>
    <row r="74" spans="2:12" ht="15" customHeight="1" outlineLevel="1" x14ac:dyDescent="0.25">
      <c r="B74" s="364" t="s">
        <v>74</v>
      </c>
      <c r="C74" s="376" t="s">
        <v>75</v>
      </c>
      <c r="D74" s="366" t="s">
        <v>112</v>
      </c>
      <c r="E74" s="367">
        <f>IF(DelkaProjektu&gt;=1,'2. Vstupní data on-premise '!$E$120*'2. Vstupní data on-premise '!$F$120,0)</f>
        <v>0</v>
      </c>
      <c r="F74" s="367">
        <f>IF(DelkaProjektu&gt;=2,'2. Vstupní data on-premise '!$E$120*'2. Vstupní data on-premise '!$F$120,0)</f>
        <v>0</v>
      </c>
      <c r="G74" s="367">
        <f>IF(DelkaProjektu&gt;=3,'2. Vstupní data on-premise '!$E$120*'2. Vstupní data on-premise '!$F$120,0)</f>
        <v>0</v>
      </c>
      <c r="H74" s="367">
        <f>IF(DelkaProjektu&gt;=4,'2. Vstupní data on-premise '!$E$120*'2. Vstupní data on-premise '!$F$120,0)</f>
        <v>0</v>
      </c>
      <c r="I74" s="367">
        <f>IF(DelkaProjektu&gt;=5,'2. Vstupní data on-premise '!$E$120*'2. Vstupní data on-premise '!$F$120,0)</f>
        <v>0</v>
      </c>
      <c r="J74" s="368">
        <f t="shared" ref="J74:J81" si="17">SUM(E74:I74)</f>
        <v>0</v>
      </c>
    </row>
    <row r="75" spans="2:12" ht="15" customHeight="1" outlineLevel="1" x14ac:dyDescent="0.25">
      <c r="B75" s="364" t="s">
        <v>77</v>
      </c>
      <c r="C75" s="376" t="s">
        <v>76</v>
      </c>
      <c r="D75" s="366" t="s">
        <v>112</v>
      </c>
      <c r="E75" s="367">
        <f>IF(DelkaProjektu&gt;=1,'2. Vstupní data on-premise '!$E$122*'2. Vstupní data on-premise '!$F$122,0)</f>
        <v>0</v>
      </c>
      <c r="F75" s="367">
        <f>IF(DelkaProjektu&gt;=2,'2. Vstupní data on-premise '!$E$122*'2. Vstupní data on-premise '!$F$122,0)</f>
        <v>0</v>
      </c>
      <c r="G75" s="367">
        <f>IF(DelkaProjektu&gt;=3,'2. Vstupní data on-premise '!$E$122*'2. Vstupní data on-premise '!$F$122,0)</f>
        <v>0</v>
      </c>
      <c r="H75" s="367">
        <f>IF(DelkaProjektu&gt;=4,'2. Vstupní data on-premise '!$E$122*'2. Vstupní data on-premise '!$F$122,0)</f>
        <v>0</v>
      </c>
      <c r="I75" s="367">
        <f>IF(DelkaProjektu&gt;=5,'2. Vstupní data on-premise '!$E$122*'2. Vstupní data on-premise '!$F$122,0)</f>
        <v>0</v>
      </c>
      <c r="J75" s="368">
        <f t="shared" si="17"/>
        <v>0</v>
      </c>
    </row>
    <row r="76" spans="2:12" ht="15" customHeight="1" outlineLevel="1" x14ac:dyDescent="0.25">
      <c r="B76" s="364" t="s">
        <v>78</v>
      </c>
      <c r="C76" s="376" t="s">
        <v>79</v>
      </c>
      <c r="D76" s="366" t="s">
        <v>112</v>
      </c>
      <c r="E76" s="367">
        <f>IF(DelkaProjektu&gt;=1,'2. Vstupní data on-premise '!$E$124*'2. Vstupní data on-premise '!$F$124,0)</f>
        <v>0</v>
      </c>
      <c r="F76" s="367">
        <f>IF(DelkaProjektu&gt;=2,'2. Vstupní data on-premise '!$E$124*'2. Vstupní data on-premise '!$F$124,0)</f>
        <v>0</v>
      </c>
      <c r="G76" s="367">
        <f>IF(DelkaProjektu&gt;=3,'2. Vstupní data on-premise '!$E$124*'2. Vstupní data on-premise '!$F$124,0)</f>
        <v>0</v>
      </c>
      <c r="H76" s="367">
        <f>IF(DelkaProjektu&gt;=4,'2. Vstupní data on-premise '!$E$124*'2. Vstupní data on-premise '!$F$124,0)</f>
        <v>0</v>
      </c>
      <c r="I76" s="367">
        <f>IF(DelkaProjektu&gt;=5,'2. Vstupní data on-premise '!$E$124*'2. Vstupní data on-premise '!$F$124,0)</f>
        <v>0</v>
      </c>
      <c r="J76" s="368">
        <f t="shared" si="17"/>
        <v>0</v>
      </c>
    </row>
    <row r="77" spans="2:12" ht="15" customHeight="1" outlineLevel="1" x14ac:dyDescent="0.25">
      <c r="B77" s="364" t="s">
        <v>80</v>
      </c>
      <c r="C77" s="376" t="s">
        <v>82</v>
      </c>
      <c r="D77" s="366" t="s">
        <v>112</v>
      </c>
      <c r="E77" s="367">
        <f>IF(DelkaProjektu&gt;=1,'2. Vstupní data on-premise '!$E$126*'2. Vstupní data on-premise '!$F$126,0)</f>
        <v>0</v>
      </c>
      <c r="F77" s="367">
        <f>IF(DelkaProjektu&gt;=2,'2. Vstupní data on-premise '!$E$126*'2. Vstupní data on-premise '!$F$126,0)</f>
        <v>0</v>
      </c>
      <c r="G77" s="367">
        <f>IF(DelkaProjektu&gt;=3,'2. Vstupní data on-premise '!$E$126*'2. Vstupní data on-premise '!$F$126,0)</f>
        <v>0</v>
      </c>
      <c r="H77" s="367">
        <f>IF(DelkaProjektu&gt;=4,'2. Vstupní data on-premise '!$E$126*'2. Vstupní data on-premise '!$F$126,0)</f>
        <v>0</v>
      </c>
      <c r="I77" s="367">
        <f>IF(DelkaProjektu&gt;=5,'2. Vstupní data on-premise '!$E$126*'2. Vstupní data on-premise '!$F$126,0)</f>
        <v>0</v>
      </c>
      <c r="J77" s="368">
        <f t="shared" si="17"/>
        <v>0</v>
      </c>
    </row>
    <row r="78" spans="2:12" ht="15" customHeight="1" outlineLevel="1" x14ac:dyDescent="0.25">
      <c r="B78" s="364" t="s">
        <v>81</v>
      </c>
      <c r="C78" s="376" t="s">
        <v>83</v>
      </c>
      <c r="D78" s="366" t="s">
        <v>112</v>
      </c>
      <c r="E78" s="367">
        <f>IF(DelkaProjektu&gt;=1,'2. Vstupní data on-premise '!$F111*'2. Vstupní data on-premise '!$E111+'2. Vstupní data on-premise '!$E112*'2. Vstupní data on-premise '!$F112+'2. Vstupní data on-premise '!$E113*'2. Vstupní data on-premise '!$F113+'2. Vstupní data on-premise '!$F114,0)</f>
        <v>0</v>
      </c>
      <c r="F78" s="367">
        <f>IF(DelkaProjektu&gt;=2,'2. Vstupní data on-premise '!$F111*'2. Vstupní data on-premise '!$E111+'2. Vstupní data on-premise '!$E112*'2. Vstupní data on-premise '!$F112+'2. Vstupní data on-premise '!$E113*'2. Vstupní data on-premise '!$F113+'2. Vstupní data on-premise '!$F114,0)</f>
        <v>0</v>
      </c>
      <c r="G78" s="367">
        <f>IF(DelkaProjektu&gt;=3,'2. Vstupní data on-premise '!$F111*'2. Vstupní data on-premise '!$E111+'2. Vstupní data on-premise '!$E112*'2. Vstupní data on-premise '!$F112+'2. Vstupní data on-premise '!$E113*'2. Vstupní data on-premise '!$F113+'2. Vstupní data on-premise '!$F114,0)</f>
        <v>0</v>
      </c>
      <c r="H78" s="367">
        <f>IF(DelkaProjektu&gt;=4,'2. Vstupní data on-premise '!$F111*'2. Vstupní data on-premise '!$E111+'2. Vstupní data on-premise '!$E112*'2. Vstupní data on-premise '!$F112+'2. Vstupní data on-premise '!$E113*'2. Vstupní data on-premise '!$F113+'2. Vstupní data on-premise '!$F114,0)</f>
        <v>0</v>
      </c>
      <c r="I78" s="367">
        <f>IF(DelkaProjektu&gt;=5,'2. Vstupní data on-premise '!$F111*'2. Vstupní data on-premise '!$E111+'2. Vstupní data on-premise '!$E112*'2. Vstupní data on-premise '!$F112+'2. Vstupní data on-premise '!$E113*'2. Vstupní data on-premise '!$F113+'2. Vstupní data on-premise '!$F114,0)</f>
        <v>0</v>
      </c>
      <c r="J78" s="368">
        <f t="shared" si="17"/>
        <v>0</v>
      </c>
    </row>
    <row r="79" spans="2:12" ht="15" customHeight="1" outlineLevel="1" x14ac:dyDescent="0.25">
      <c r="B79" s="364" t="s">
        <v>84</v>
      </c>
      <c r="C79" s="376" t="s">
        <v>85</v>
      </c>
      <c r="D79" s="366" t="s">
        <v>112</v>
      </c>
      <c r="E79" s="367">
        <f>SUM(E80:E81)</f>
        <v>0</v>
      </c>
      <c r="F79" s="367">
        <f t="shared" ref="F79:I79" si="18">SUM(F80:F81)</f>
        <v>0</v>
      </c>
      <c r="G79" s="367">
        <f t="shared" si="18"/>
        <v>0</v>
      </c>
      <c r="H79" s="367">
        <f t="shared" si="18"/>
        <v>0</v>
      </c>
      <c r="I79" s="367">
        <f t="shared" si="18"/>
        <v>0</v>
      </c>
      <c r="J79" s="368">
        <f t="shared" si="17"/>
        <v>0</v>
      </c>
    </row>
    <row r="80" spans="2:12" ht="15" customHeight="1" outlineLevel="1" x14ac:dyDescent="0.25">
      <c r="B80" s="364"/>
      <c r="C80" s="212" t="s">
        <v>105</v>
      </c>
      <c r="D80" s="366" t="s">
        <v>112</v>
      </c>
      <c r="E80" s="367">
        <f>IF(DelkaProjektu&gt;=1,'2. Vstupní data on-premise '!$E129*'2. Vstupní data on-premise '!$F129,0)</f>
        <v>0</v>
      </c>
      <c r="F80" s="367">
        <f>IF(DelkaProjektu&gt;=2,'2. Vstupní data on-premise '!$E129*'2. Vstupní data on-premise '!$F129,0)</f>
        <v>0</v>
      </c>
      <c r="G80" s="367">
        <f>IF(DelkaProjektu&gt;=3,'2. Vstupní data on-premise '!$E129*'2. Vstupní data on-premise '!$F129,0)</f>
        <v>0</v>
      </c>
      <c r="H80" s="367">
        <f>IF(DelkaProjektu&gt;=4,'2. Vstupní data on-premise '!$E129*'2. Vstupní data on-premise '!$F129,0)</f>
        <v>0</v>
      </c>
      <c r="I80" s="367">
        <f>IF(DelkaProjektu&gt;=5,'2. Vstupní data on-premise '!$E129*'2. Vstupní data on-premise '!$F129,0)</f>
        <v>0</v>
      </c>
      <c r="J80" s="368">
        <f t="shared" si="17"/>
        <v>0</v>
      </c>
    </row>
    <row r="81" spans="2:12" ht="15" customHeight="1" outlineLevel="1" x14ac:dyDescent="0.25">
      <c r="B81" s="364"/>
      <c r="C81" s="212" t="s">
        <v>256</v>
      </c>
      <c r="D81" s="366" t="s">
        <v>112</v>
      </c>
      <c r="E81" s="367">
        <f>IF(DelkaProjektu&gt;=1,'2. Vstupní data on-premise '!$F132,0)</f>
        <v>0</v>
      </c>
      <c r="F81" s="367">
        <f>IF(DelkaProjektu&gt;=2,'2. Vstupní data on-premise '!$F132,0)</f>
        <v>0</v>
      </c>
      <c r="G81" s="367">
        <f>IF(DelkaProjektu&gt;=3,'2. Vstupní data on-premise '!$F132,0)</f>
        <v>0</v>
      </c>
      <c r="H81" s="367">
        <f>IF(DelkaProjektu&gt;=4,'2. Vstupní data on-premise '!$F132,0)</f>
        <v>0</v>
      </c>
      <c r="I81" s="367">
        <f>IF(DelkaProjektu&gt;=5,'2. Vstupní data on-premise '!$F132,0)</f>
        <v>0</v>
      </c>
      <c r="J81" s="368">
        <f t="shared" si="17"/>
        <v>0</v>
      </c>
    </row>
    <row r="82" spans="2:12" ht="15" customHeight="1" x14ac:dyDescent="0.25">
      <c r="B82" s="352" t="s">
        <v>86</v>
      </c>
      <c r="C82" s="369" t="s">
        <v>87</v>
      </c>
      <c r="D82" s="354" t="s">
        <v>112</v>
      </c>
      <c r="E82" s="355">
        <f>SUM(E83:E88)</f>
        <v>0</v>
      </c>
      <c r="F82" s="355">
        <f t="shared" ref="F82:J82" si="19">SUM(F83:F88)</f>
        <v>0</v>
      </c>
      <c r="G82" s="355">
        <f t="shared" si="19"/>
        <v>0</v>
      </c>
      <c r="H82" s="355">
        <f t="shared" si="19"/>
        <v>0</v>
      </c>
      <c r="I82" s="355">
        <f t="shared" si="19"/>
        <v>0</v>
      </c>
      <c r="J82" s="355">
        <f t="shared" si="19"/>
        <v>0</v>
      </c>
    </row>
    <row r="83" spans="2:12" ht="15" customHeight="1" outlineLevel="1" x14ac:dyDescent="0.25">
      <c r="B83" s="364" t="s">
        <v>90</v>
      </c>
      <c r="C83" s="376" t="s">
        <v>88</v>
      </c>
      <c r="D83" s="366" t="s">
        <v>112</v>
      </c>
      <c r="E83" s="367">
        <f>IF(DelkaProjektu&gt;=1,'2. Vstupní data on-premise '!$E119*'2. Vstupní data on-premise '!$F119,0)</f>
        <v>0</v>
      </c>
      <c r="F83" s="367">
        <f>IF(DelkaProjektu&gt;=2,'2. Vstupní data on-premise '!$E119*'2. Vstupní data on-premise '!$F119,0)</f>
        <v>0</v>
      </c>
      <c r="G83" s="367">
        <f>IF(DelkaProjektu&gt;=3,'2. Vstupní data on-premise '!$E119*'2. Vstupní data on-premise '!$F119,0)</f>
        <v>0</v>
      </c>
      <c r="H83" s="367">
        <f>IF(DelkaProjektu&gt;=4,'2. Vstupní data on-premise '!$E119*'2. Vstupní data on-premise '!$F119,0)</f>
        <v>0</v>
      </c>
      <c r="I83" s="367">
        <f>IF(DelkaProjektu&gt;=5,'2. Vstupní data on-premise '!$E119*'2. Vstupní data on-premise '!$F119,0)</f>
        <v>0</v>
      </c>
      <c r="J83" s="367">
        <f>SUM(E83:I83)</f>
        <v>0</v>
      </c>
    </row>
    <row r="84" spans="2:12" ht="15" customHeight="1" outlineLevel="1" x14ac:dyDescent="0.25">
      <c r="B84" s="364" t="s">
        <v>91</v>
      </c>
      <c r="C84" s="376" t="s">
        <v>151</v>
      </c>
      <c r="D84" s="366" t="s">
        <v>112</v>
      </c>
      <c r="E84" s="367">
        <f>IF(DelkaProjektu&gt;=1,'2. Vstupní data on-premise '!$F121*'2. Vstupní data on-premise '!$E121,0)</f>
        <v>0</v>
      </c>
      <c r="F84" s="367">
        <f>IF(DelkaProjektu&gt;=2,'2. Vstupní data on-premise '!$F121*'2. Vstupní data on-premise '!$E121,0)</f>
        <v>0</v>
      </c>
      <c r="G84" s="367">
        <f>IF(DelkaProjektu&gt;=3,'2. Vstupní data on-premise '!$F121*'2. Vstupní data on-premise '!$E121,0)</f>
        <v>0</v>
      </c>
      <c r="H84" s="367">
        <f>IF(DelkaProjektu&gt;=4,'2. Vstupní data on-premise '!$F121*'2. Vstupní data on-premise '!$E121,0)</f>
        <v>0</v>
      </c>
      <c r="I84" s="367">
        <f>IF(DelkaProjektu&gt;=5,'2. Vstupní data on-premise '!$F121*'2. Vstupní data on-premise '!$E121,0)</f>
        <v>0</v>
      </c>
      <c r="J84" s="367">
        <f>SUM(E84:I84)</f>
        <v>0</v>
      </c>
    </row>
    <row r="85" spans="2:12" ht="15" customHeight="1" outlineLevel="1" x14ac:dyDescent="0.25">
      <c r="B85" s="364" t="s">
        <v>92</v>
      </c>
      <c r="C85" s="376" t="s">
        <v>152</v>
      </c>
      <c r="D85" s="366" t="s">
        <v>112</v>
      </c>
      <c r="E85" s="367">
        <f>IF(DelkaProjektu&gt;=1,'2. Vstupní data on-premise '!$F123*'2. Vstupní data on-premise '!$E123,0)</f>
        <v>0</v>
      </c>
      <c r="F85" s="367">
        <f>IF(DelkaProjektu&gt;=2,'2. Vstupní data on-premise '!$F123*'2. Vstupní data on-premise '!$E123,0)</f>
        <v>0</v>
      </c>
      <c r="G85" s="367">
        <f>IF(DelkaProjektu&gt;=3,'2. Vstupní data on-premise '!$F123*'2. Vstupní data on-premise '!$E123,0)</f>
        <v>0</v>
      </c>
      <c r="H85" s="367">
        <f>IF(DelkaProjektu&gt;=4,'2. Vstupní data on-premise '!$F123*'2. Vstupní data on-premise '!$E123,0)</f>
        <v>0</v>
      </c>
      <c r="I85" s="367">
        <f>IF(DelkaProjektu&gt;=5,'2. Vstupní data on-premise '!$F123*'2. Vstupní data on-premise '!$E123,0)</f>
        <v>0</v>
      </c>
      <c r="J85" s="367">
        <f>SUM(E85:I85)</f>
        <v>0</v>
      </c>
    </row>
    <row r="86" spans="2:12" ht="15" customHeight="1" outlineLevel="1" x14ac:dyDescent="0.25">
      <c r="B86" s="364" t="s">
        <v>93</v>
      </c>
      <c r="C86" s="376" t="s">
        <v>355</v>
      </c>
      <c r="D86" s="366" t="s">
        <v>112</v>
      </c>
      <c r="E86" s="367">
        <f>IF(DelkaProjektu&gt;=1,'2. Vstupní data on-premise '!$F125*'2. Vstupní data on-premise '!$E125,0)</f>
        <v>0</v>
      </c>
      <c r="F86" s="367">
        <f>IF(DelkaProjektu&gt;=2,'2. Vstupní data on-premise '!$F125*'2. Vstupní data on-premise '!$E125,0)</f>
        <v>0</v>
      </c>
      <c r="G86" s="367">
        <f>IF(DelkaProjektu&gt;=3,'2. Vstupní data on-premise '!$F125*'2. Vstupní data on-premise '!$E125,0)</f>
        <v>0</v>
      </c>
      <c r="H86" s="367">
        <f>IF(DelkaProjektu&gt;=4,'2. Vstupní data on-premise '!$F125*'2. Vstupní data on-premise '!$E125,0)</f>
        <v>0</v>
      </c>
      <c r="I86" s="367">
        <f>IF(DelkaProjektu&gt;=5,'2. Vstupní data on-premise '!$F125*'2. Vstupní data on-premise '!$E125,0)</f>
        <v>0</v>
      </c>
      <c r="J86" s="367">
        <f>SUM(E86:I86)</f>
        <v>0</v>
      </c>
    </row>
    <row r="87" spans="2:12" ht="15" customHeight="1" outlineLevel="1" x14ac:dyDescent="0.25">
      <c r="B87" s="364" t="s">
        <v>94</v>
      </c>
      <c r="C87" s="376" t="s">
        <v>89</v>
      </c>
      <c r="D87" s="366" t="s">
        <v>112</v>
      </c>
      <c r="E87" s="367">
        <f>IF(DelkaProjektu&gt;=1,'2. Vstupní data on-premise '!$E$127*'2. Vstupní data on-premise '!$F$127,0)</f>
        <v>0</v>
      </c>
      <c r="F87" s="367">
        <f>IF(DelkaProjektu&gt;=2,'2. Vstupní data on-premise '!$E$127*'2. Vstupní data on-premise '!$F$127,0)</f>
        <v>0</v>
      </c>
      <c r="G87" s="367">
        <f>IF(DelkaProjektu&gt;=3,'2. Vstupní data on-premise '!$E$127*'2. Vstupní data on-premise '!$F$127,0)</f>
        <v>0</v>
      </c>
      <c r="H87" s="367">
        <f>IF(DelkaProjektu&gt;=4,'2. Vstupní data on-premise '!$E$127*'2. Vstupní data on-premise '!$F$127,0)</f>
        <v>0</v>
      </c>
      <c r="I87" s="367">
        <f>IF(DelkaProjektu&gt;=5,'2. Vstupní data on-premise '!$E$127*'2. Vstupní data on-premise '!$F$127,0)</f>
        <v>0</v>
      </c>
      <c r="J87" s="367">
        <f>SUM(E87:I87)</f>
        <v>0</v>
      </c>
    </row>
    <row r="88" spans="2:12" ht="15" customHeight="1" outlineLevel="1" x14ac:dyDescent="0.25">
      <c r="B88" s="352" t="s">
        <v>95</v>
      </c>
      <c r="C88" s="369" t="s">
        <v>153</v>
      </c>
      <c r="D88" s="354" t="s">
        <v>112</v>
      </c>
      <c r="E88" s="374">
        <f t="shared" ref="E88:J88" si="20">SUM(E89:E92)</f>
        <v>0</v>
      </c>
      <c r="F88" s="374">
        <f t="shared" si="20"/>
        <v>0</v>
      </c>
      <c r="G88" s="374">
        <f t="shared" si="20"/>
        <v>0</v>
      </c>
      <c r="H88" s="374">
        <f t="shared" si="20"/>
        <v>0</v>
      </c>
      <c r="I88" s="374">
        <f t="shared" si="20"/>
        <v>0</v>
      </c>
      <c r="J88" s="374">
        <f t="shared" si="20"/>
        <v>0</v>
      </c>
    </row>
    <row r="89" spans="2:12" ht="15" customHeight="1" outlineLevel="1" x14ac:dyDescent="0.25">
      <c r="B89" s="364"/>
      <c r="C89" s="376" t="s">
        <v>165</v>
      </c>
      <c r="D89" s="366" t="s">
        <v>112</v>
      </c>
      <c r="E89" s="367">
        <f>IF(DelkaProjektu&gt;=1,SpotrebaElektrinyServerRok*CenaElektriny,0)</f>
        <v>0</v>
      </c>
      <c r="F89" s="367">
        <f>IF(DelkaProjektu&gt;=2,SpotrebaElektrinyServerRok*CenaElektriny,0)</f>
        <v>0</v>
      </c>
      <c r="G89" s="367">
        <f>IF(DelkaProjektu&gt;=3,SpotrebaElektrinyServerRok*CenaElektriny,0)</f>
        <v>0</v>
      </c>
      <c r="H89" s="367">
        <f>IF(DelkaProjektu&gt;=4,SpotrebaElektrinyServerRok*CenaElektriny,0)</f>
        <v>0</v>
      </c>
      <c r="I89" s="367">
        <f>IF(DelkaProjektu&gt;=5,SpotrebaElektrinyServerRok*CenaElektriny,0)</f>
        <v>0</v>
      </c>
      <c r="J89" s="367">
        <f t="shared" ref="J89:J95" si="21">SUM(E89:I89)</f>
        <v>0</v>
      </c>
    </row>
    <row r="90" spans="2:12" ht="15" customHeight="1" outlineLevel="1" x14ac:dyDescent="0.25">
      <c r="B90" s="364"/>
      <c r="C90" s="376" t="s">
        <v>177</v>
      </c>
      <c r="D90" s="366" t="s">
        <v>112</v>
      </c>
      <c r="E90" s="367">
        <f>IF(DiskVelikost=0,0,IF(DelkaProjektu&gt;=1,SpotrebaElektrinyUlozisteRok*CenaElektriny*E$161,0))</f>
        <v>0</v>
      </c>
      <c r="F90" s="367">
        <f>IF(DiskVelikost=0,0,IF(DelkaProjektu&gt;=2,SpotrebaElektrinyUlozisteRok*CenaElektriny*F$161,0))</f>
        <v>0</v>
      </c>
      <c r="G90" s="367">
        <f>IF(DiskVelikost=0,0,IF(DelkaProjektu&gt;=3,SpotrebaElektrinyUlozisteRok*CenaElektriny*G$161,0))</f>
        <v>0</v>
      </c>
      <c r="H90" s="367">
        <f>IF(DiskVelikost=0,0,IF(DelkaProjektu&gt;=4,SpotrebaElektrinyUlozisteRok*CenaElektriny*H$161,0))</f>
        <v>0</v>
      </c>
      <c r="I90" s="367">
        <f>IF(DiskVelikost=0,0,IF(DelkaProjektu&gt;=5,SpotrebaElektrinyUlozisteRok*CenaElektriny*I$161,0))</f>
        <v>0</v>
      </c>
      <c r="J90" s="367">
        <f t="shared" si="21"/>
        <v>0</v>
      </c>
    </row>
    <row r="91" spans="2:12" ht="15" customHeight="1" outlineLevel="1" x14ac:dyDescent="0.25">
      <c r="B91" s="364"/>
      <c r="C91" s="376" t="s">
        <v>348</v>
      </c>
      <c r="D91" s="366" t="s">
        <v>112</v>
      </c>
      <c r="E91" s="367">
        <f>IF(DelkaProjektu&gt;=1,SpotrebaElektrinyOstatni*CenaElektriny,0)</f>
        <v>0</v>
      </c>
      <c r="F91" s="367">
        <f>IF(DelkaProjektu&gt;=2,SpotrebaElektrinyOstatni*CenaElektriny,0)</f>
        <v>0</v>
      </c>
      <c r="G91" s="367">
        <f>IF(DelkaProjektu&gt;=3,SpotrebaElektrinyOstatni*CenaElektriny,0)</f>
        <v>0</v>
      </c>
      <c r="H91" s="367">
        <f>IF(DelkaProjektu&gt;=4,SpotrebaElektrinyOstatni*CenaElektriny,0)</f>
        <v>0</v>
      </c>
      <c r="I91" s="367">
        <f>IF(DelkaProjektu&gt;=5,SpotrebaElektrinyOstatni*CenaElektriny,0)</f>
        <v>0</v>
      </c>
      <c r="J91" s="367">
        <f t="shared" si="21"/>
        <v>0</v>
      </c>
    </row>
    <row r="92" spans="2:12" ht="15" customHeight="1" outlineLevel="1" x14ac:dyDescent="0.25">
      <c r="B92" s="364"/>
      <c r="C92" s="376" t="s">
        <v>198</v>
      </c>
      <c r="D92" s="366" t="s">
        <v>112</v>
      </c>
      <c r="E92" s="367">
        <f>IF(DelkaProjektu&gt;=1,'2. Vstupní data on-premise '!$F128*'2. Vstupní data on-premise '!$E128,0)</f>
        <v>0</v>
      </c>
      <c r="F92" s="367">
        <f>IF(DelkaProjektu&gt;=2,'2. Vstupní data on-premise '!$F128*'2. Vstupní data on-premise '!$E128,0)</f>
        <v>0</v>
      </c>
      <c r="G92" s="367">
        <f>IF(DelkaProjektu&gt;=3,'2. Vstupní data on-premise '!$F128*'2. Vstupní data on-premise '!$E128,0)</f>
        <v>0</v>
      </c>
      <c r="H92" s="367">
        <f>IF(DelkaProjektu&gt;=4,'2. Vstupní data on-premise '!$F128*'2. Vstupní data on-premise '!$E128,0)</f>
        <v>0</v>
      </c>
      <c r="I92" s="367">
        <f>IF(DelkaProjektu&gt;=5,'2. Vstupní data on-premise '!$F128*'2. Vstupní data on-premise '!$E128,0)</f>
        <v>0</v>
      </c>
      <c r="J92" s="367">
        <f t="shared" si="21"/>
        <v>0</v>
      </c>
    </row>
    <row r="93" spans="2:12" ht="15" customHeight="1" x14ac:dyDescent="0.25">
      <c r="B93" s="352" t="s">
        <v>96</v>
      </c>
      <c r="C93" s="369" t="s">
        <v>97</v>
      </c>
      <c r="D93" s="354" t="s">
        <v>112</v>
      </c>
      <c r="E93" s="355">
        <f>E94+E95</f>
        <v>0</v>
      </c>
      <c r="F93" s="355">
        <f t="shared" ref="F93:I93" si="22">F94+F95</f>
        <v>0</v>
      </c>
      <c r="G93" s="355">
        <f t="shared" si="22"/>
        <v>0</v>
      </c>
      <c r="H93" s="355">
        <f t="shared" si="22"/>
        <v>0</v>
      </c>
      <c r="I93" s="355">
        <f t="shared" si="22"/>
        <v>0</v>
      </c>
      <c r="J93" s="355">
        <f t="shared" si="21"/>
        <v>0</v>
      </c>
    </row>
    <row r="94" spans="2:12" ht="15" customHeight="1" outlineLevel="1" x14ac:dyDescent="0.25">
      <c r="B94" s="378" t="s">
        <v>312</v>
      </c>
      <c r="C94" s="376" t="s">
        <v>314</v>
      </c>
      <c r="D94" s="224" t="s">
        <v>112</v>
      </c>
      <c r="E94" s="368">
        <f>IF(DelkaProjektu&gt;=1,RackUmisteni,0)</f>
        <v>0</v>
      </c>
      <c r="F94" s="368">
        <f>IF(DelkaProjektu&gt;=2,RackUmisteni,0)</f>
        <v>0</v>
      </c>
      <c r="G94" s="368">
        <f>IF(DelkaProjektu&gt;=3,RackUmisteni,0)</f>
        <v>0</v>
      </c>
      <c r="H94" s="368">
        <f>IF(DelkaProjektu&gt;=4,RackUmisteni,0)</f>
        <v>0</v>
      </c>
      <c r="I94" s="368">
        <f>IF(DelkaProjektu&gt;=5,RackUmisteni,0)</f>
        <v>0</v>
      </c>
      <c r="J94" s="368">
        <f t="shared" si="21"/>
        <v>0</v>
      </c>
    </row>
    <row r="95" spans="2:12" ht="15" customHeight="1" outlineLevel="1" x14ac:dyDescent="0.25">
      <c r="B95" s="378" t="s">
        <v>313</v>
      </c>
      <c r="C95" s="376" t="s">
        <v>315</v>
      </c>
      <c r="D95" s="224" t="s">
        <v>112</v>
      </c>
      <c r="E95" s="368">
        <f>IF(DelkaProjektu&gt;=1,ExterniKonektivita,0)</f>
        <v>0</v>
      </c>
      <c r="F95" s="368">
        <f>IF(DelkaProjektu&gt;=2,ExterniKonektivita,0)</f>
        <v>0</v>
      </c>
      <c r="G95" s="368">
        <f>IF(DelkaProjektu&gt;=3,ExterniKonektivita,0)</f>
        <v>0</v>
      </c>
      <c r="H95" s="368">
        <f>IF(DelkaProjektu&gt;=4,ExterniKonektivita,0)</f>
        <v>0</v>
      </c>
      <c r="I95" s="368">
        <f>IF(DelkaProjektu&gt;=5,ExterniKonektivita,0)</f>
        <v>0</v>
      </c>
      <c r="J95" s="368">
        <f t="shared" si="21"/>
        <v>0</v>
      </c>
    </row>
    <row r="96" spans="2:12" ht="15" customHeight="1" x14ac:dyDescent="0.25">
      <c r="B96" s="371" t="s">
        <v>116</v>
      </c>
      <c r="C96" s="372" t="s">
        <v>117</v>
      </c>
      <c r="D96" s="372" t="s">
        <v>112</v>
      </c>
      <c r="E96" s="373">
        <f>SUM(E97:E104)</f>
        <v>0</v>
      </c>
      <c r="F96" s="373">
        <f t="shared" ref="F96:I96" si="23">SUM(F97:F104)</f>
        <v>0</v>
      </c>
      <c r="G96" s="373">
        <f t="shared" si="23"/>
        <v>0</v>
      </c>
      <c r="H96" s="373">
        <f t="shared" si="23"/>
        <v>0</v>
      </c>
      <c r="I96" s="373">
        <f t="shared" si="23"/>
        <v>0</v>
      </c>
      <c r="J96" s="373">
        <f>SUM(J97:J104)</f>
        <v>0</v>
      </c>
      <c r="L96" s="377"/>
    </row>
    <row r="97" spans="1:12" ht="15" customHeight="1" x14ac:dyDescent="0.25">
      <c r="B97" s="352" t="s">
        <v>118</v>
      </c>
      <c r="C97" s="353" t="s">
        <v>119</v>
      </c>
      <c r="D97" s="354" t="s">
        <v>112</v>
      </c>
      <c r="E97" s="355">
        <f>IF(DelkaProjektu&gt;=1,ServerUdrzba,0)</f>
        <v>0</v>
      </c>
      <c r="F97" s="355">
        <f>IF(DelkaProjektu&gt;=2,ServerUdrzba,0)</f>
        <v>0</v>
      </c>
      <c r="G97" s="355">
        <f>IF(DelkaProjektu&gt;=3,ServerUdrzba,0)</f>
        <v>0</v>
      </c>
      <c r="H97" s="355">
        <f>IF(DelkaProjektu&gt;=4,ServerUdrzba,0)</f>
        <v>0</v>
      </c>
      <c r="I97" s="355">
        <f>IF(DelkaProjektu&gt;=5,ServerUdrzba,0)</f>
        <v>0</v>
      </c>
      <c r="J97" s="374">
        <f t="shared" ref="J97:J112" si="24">SUM(E97:I97)</f>
        <v>0</v>
      </c>
    </row>
    <row r="98" spans="1:12" ht="15" customHeight="1" x14ac:dyDescent="0.25">
      <c r="B98" s="352" t="s">
        <v>120</v>
      </c>
      <c r="C98" s="353" t="s">
        <v>321</v>
      </c>
      <c r="D98" s="354" t="s">
        <v>112</v>
      </c>
      <c r="E98" s="355">
        <f>IF(DelkaProjektu&gt;=1,SWInfrastrukturaMaintenance,0)</f>
        <v>0</v>
      </c>
      <c r="F98" s="355">
        <f>IF(DelkaProjektu&gt;=2,SWInfrastrukturaMaintenance,0)</f>
        <v>0</v>
      </c>
      <c r="G98" s="355">
        <f>IF(DelkaProjektu&gt;=3,SWInfrastrukturaMaintenance,0)</f>
        <v>0</v>
      </c>
      <c r="H98" s="355">
        <f>IF(DelkaProjektu&gt;=4,SWInfrastrukturaMaintenance,0)</f>
        <v>0</v>
      </c>
      <c r="I98" s="355">
        <f>IF(DelkaProjektu&gt;=5,SWInfrastrukturaMaintenance,0)</f>
        <v>0</v>
      </c>
      <c r="J98" s="374">
        <f t="shared" si="24"/>
        <v>0</v>
      </c>
    </row>
    <row r="99" spans="1:12" ht="14.25" customHeight="1" x14ac:dyDescent="0.25">
      <c r="B99" s="352" t="s">
        <v>121</v>
      </c>
      <c r="C99" s="353" t="s">
        <v>122</v>
      </c>
      <c r="D99" s="354" t="s">
        <v>112</v>
      </c>
      <c r="E99" s="355">
        <f>IF(DelkaProjektu&gt;=1,AplikacniSWMaintenance,0)</f>
        <v>0</v>
      </c>
      <c r="F99" s="355">
        <f>IF(DelkaProjektu&gt;=2,AplikacniSWMaintenance,0)</f>
        <v>0</v>
      </c>
      <c r="G99" s="355">
        <f>IF(DelkaProjektu&gt;=3,AplikacniSWMaintenance,0)</f>
        <v>0</v>
      </c>
      <c r="H99" s="355">
        <f>IF(DelkaProjektu&gt;=4,AplikacniSWMaintenance,0)</f>
        <v>0</v>
      </c>
      <c r="I99" s="355">
        <f>IF(DelkaProjektu&gt;=5,AplikacniSWMaintenance,0)</f>
        <v>0</v>
      </c>
      <c r="J99" s="374">
        <f t="shared" si="24"/>
        <v>0</v>
      </c>
    </row>
    <row r="100" spans="1:12" ht="14.25" customHeight="1" x14ac:dyDescent="0.25">
      <c r="B100" s="352" t="s">
        <v>123</v>
      </c>
      <c r="C100" s="353" t="s">
        <v>124</v>
      </c>
      <c r="D100" s="354" t="s">
        <v>112</v>
      </c>
      <c r="E100" s="355">
        <f>IF(DelkaProjektu&gt;=1,'2. Vstupní data on-premise '!$F$131*'2. Vstupní data on-premise '!$E$131,0)</f>
        <v>0</v>
      </c>
      <c r="F100" s="355">
        <f>IF(DelkaProjektu&gt;=2,'2. Vstupní data on-premise '!$F$131*'2. Vstupní data on-premise '!$E$131,0)</f>
        <v>0</v>
      </c>
      <c r="G100" s="355">
        <f>IF(DelkaProjektu&gt;=3,'2. Vstupní data on-premise '!$F$131*'2. Vstupní data on-premise '!$E$131,0)</f>
        <v>0</v>
      </c>
      <c r="H100" s="355">
        <f>IF(DelkaProjektu&gt;=4,'2. Vstupní data on-premise '!$F$131*'2. Vstupní data on-premise '!$E$131,0)</f>
        <v>0</v>
      </c>
      <c r="I100" s="355">
        <f>IF(DelkaProjektu&gt;=5,'2. Vstupní data on-premise '!$F$131*'2. Vstupní data on-premise '!$E$131,0)</f>
        <v>0</v>
      </c>
      <c r="J100" s="374">
        <f t="shared" si="24"/>
        <v>0</v>
      </c>
    </row>
    <row r="101" spans="1:12" ht="14.25" customHeight="1" x14ac:dyDescent="0.25">
      <c r="B101" s="352" t="s">
        <v>340</v>
      </c>
      <c r="C101" s="353" t="s">
        <v>341</v>
      </c>
      <c r="D101" s="354" t="s">
        <v>112</v>
      </c>
      <c r="E101" s="355">
        <f>IF(DelkaProjektu&gt;=1,InterniKonektivita+FirewallMaint+JinyPrvekMaint,0)</f>
        <v>0</v>
      </c>
      <c r="F101" s="355">
        <f>IF(DelkaProjektu&gt;=2,InterniKonektivita+FirewallMaint+JinyPrvekMaint,0)</f>
        <v>0</v>
      </c>
      <c r="G101" s="355">
        <f>IF(DelkaProjektu&gt;=3,InterniKonektivita+FirewallMaint+JinyPrvekMaint,0)</f>
        <v>0</v>
      </c>
      <c r="H101" s="355">
        <f>IF(DelkaProjektu&gt;=4,InterniKonektivita+FirewallMaint+JinyPrvekMaint,0)</f>
        <v>0</v>
      </c>
      <c r="I101" s="355">
        <f>IF(DelkaProjektu&gt;=5,InterniKonektivita+FirewallMaint+JinyPrvekMaint,0)</f>
        <v>0</v>
      </c>
      <c r="J101" s="374">
        <f t="shared" si="24"/>
        <v>0</v>
      </c>
    </row>
    <row r="102" spans="1:12" ht="14.25" customHeight="1" x14ac:dyDescent="0.25">
      <c r="B102" s="352" t="s">
        <v>390</v>
      </c>
      <c r="C102" s="353" t="s">
        <v>391</v>
      </c>
      <c r="D102" s="354" t="s">
        <v>112</v>
      </c>
      <c r="E102" s="355">
        <f>IF(DelkaProjektu&gt;=1,maintenanceApliance,0)</f>
        <v>0</v>
      </c>
      <c r="F102" s="355">
        <f>IF(DelkaProjektu&gt;=2,maintenanceApliance,0)</f>
        <v>0</v>
      </c>
      <c r="G102" s="355">
        <f>IF(DelkaProjektu&gt;=3,maintenanceApliance,0)</f>
        <v>0</v>
      </c>
      <c r="H102" s="355">
        <f>IF(DelkaProjektu&gt;=4,maintenanceApliance,0)</f>
        <v>0</v>
      </c>
      <c r="I102" s="355">
        <f>IF(DelkaProjektu&gt;=5,maintenanceApliance,0)</f>
        <v>0</v>
      </c>
      <c r="J102" s="374">
        <f t="shared" si="24"/>
        <v>0</v>
      </c>
    </row>
    <row r="103" spans="1:12" ht="14.25" customHeight="1" x14ac:dyDescent="0.25">
      <c r="B103" s="352" t="s">
        <v>410</v>
      </c>
      <c r="C103" s="353" t="s">
        <v>411</v>
      </c>
      <c r="D103" s="354" t="s">
        <v>112</v>
      </c>
      <c r="E103" s="355">
        <f>IF(DelkaProjektu&gt;=1,DatabazovySWMaintenance,0)</f>
        <v>0</v>
      </c>
      <c r="F103" s="355">
        <f>IF(DelkaProjektu&gt;=2,DatabazovySWMaintenance,0)</f>
        <v>0</v>
      </c>
      <c r="G103" s="355">
        <f>IF(DelkaProjektu&gt;=3,DatabazovySWMaintenance,0)</f>
        <v>0</v>
      </c>
      <c r="H103" s="355">
        <f>IF(DelkaProjektu&gt;=4,DatabazovySWMaintenance,0)</f>
        <v>0</v>
      </c>
      <c r="I103" s="355">
        <f>IF(DelkaProjektu&gt;=5,DatabazovySWMaintenance,0)</f>
        <v>0</v>
      </c>
      <c r="J103" s="374">
        <f t="shared" si="24"/>
        <v>0</v>
      </c>
    </row>
    <row r="104" spans="1:12" ht="14.25" customHeight="1" x14ac:dyDescent="0.25">
      <c r="B104" s="352" t="s">
        <v>412</v>
      </c>
      <c r="C104" s="353" t="s">
        <v>413</v>
      </c>
      <c r="D104" s="354" t="s">
        <v>112</v>
      </c>
      <c r="E104" s="355">
        <f>IF(DelkaProjektu&gt;=1,IntegracniSWMaintenance+MiddleJinySWMaintenance,0)</f>
        <v>0</v>
      </c>
      <c r="F104" s="355">
        <f>IF(DelkaProjektu&gt;=2,IntegracniSWMaintenance+MiddleJinySWMaintenance,0)</f>
        <v>0</v>
      </c>
      <c r="G104" s="355">
        <f>IF(DelkaProjektu&gt;=3,IntegracniSWMaintenance+MiddleJinySWMaintenance,0)</f>
        <v>0</v>
      </c>
      <c r="H104" s="355">
        <f>IF(DelkaProjektu&gt;=4,IntegracniSWMaintenance+MiddleJinySWMaintenance,0)</f>
        <v>0</v>
      </c>
      <c r="I104" s="355">
        <f>IF(DelkaProjektu&gt;=5,IntegracniSWMaintenance+MiddleJinySWMaintenance,0)</f>
        <v>0</v>
      </c>
      <c r="J104" s="374">
        <f t="shared" si="24"/>
        <v>0</v>
      </c>
    </row>
    <row r="105" spans="1:12" ht="14.25" customHeight="1" x14ac:dyDescent="0.25">
      <c r="B105" s="352" t="s">
        <v>436</v>
      </c>
      <c r="C105" s="353" t="s">
        <v>437</v>
      </c>
      <c r="D105" s="354" t="s">
        <v>112</v>
      </c>
      <c r="E105" s="355">
        <f>IF(DelkaProjektu&gt;=1,vyvojSWmanten,0)</f>
        <v>0</v>
      </c>
      <c r="F105" s="355">
        <f>IF(DelkaProjektu&gt;=2,vyvojSWmanten,0)</f>
        <v>0</v>
      </c>
      <c r="G105" s="355">
        <f>IF(DelkaProjektu&gt;=3,vyvojSWmanten,0)</f>
        <v>0</v>
      </c>
      <c r="H105" s="355">
        <f>IF(DelkaProjektu&gt;=4,vyvojSWmanten,0)</f>
        <v>0</v>
      </c>
      <c r="I105" s="355">
        <f>IF(DelkaProjektu&gt;=5,vyvojSWmanten,0)</f>
        <v>0</v>
      </c>
      <c r="J105" s="374">
        <f t="shared" si="24"/>
        <v>0</v>
      </c>
    </row>
    <row r="106" spans="1:12" ht="14.25" customHeight="1" x14ac:dyDescent="0.25">
      <c r="B106" s="371" t="s">
        <v>194</v>
      </c>
      <c r="C106" s="372" t="s">
        <v>428</v>
      </c>
      <c r="D106" s="372" t="s">
        <v>112</v>
      </c>
      <c r="E106" s="373">
        <f>SUM(E107:E109)</f>
        <v>0</v>
      </c>
      <c r="F106" s="373">
        <f t="shared" ref="F106:I106" si="25">SUM(F107:F109)</f>
        <v>0</v>
      </c>
      <c r="G106" s="373">
        <f t="shared" si="25"/>
        <v>0</v>
      </c>
      <c r="H106" s="373">
        <f t="shared" si="25"/>
        <v>0</v>
      </c>
      <c r="I106" s="373">
        <f t="shared" si="25"/>
        <v>0</v>
      </c>
      <c r="J106" s="373">
        <f t="shared" si="24"/>
        <v>0</v>
      </c>
    </row>
    <row r="107" spans="1:12" ht="14.25" customHeight="1" outlineLevel="1" x14ac:dyDescent="0.25">
      <c r="B107" s="352" t="s">
        <v>195</v>
      </c>
      <c r="C107" s="353" t="s">
        <v>434</v>
      </c>
      <c r="D107" s="354" t="s">
        <v>112</v>
      </c>
      <c r="E107" s="508" t="s">
        <v>435</v>
      </c>
      <c r="F107" s="508" t="s">
        <v>435</v>
      </c>
      <c r="G107" s="508" t="s">
        <v>435</v>
      </c>
      <c r="H107" s="508" t="s">
        <v>435</v>
      </c>
      <c r="I107" s="508" t="s">
        <v>435</v>
      </c>
      <c r="J107" s="355">
        <f t="shared" si="24"/>
        <v>0</v>
      </c>
    </row>
    <row r="108" spans="1:12" ht="14.25" customHeight="1" outlineLevel="1" x14ac:dyDescent="0.25">
      <c r="B108" s="352" t="s">
        <v>196</v>
      </c>
      <c r="C108" s="353" t="s">
        <v>197</v>
      </c>
      <c r="D108" s="354" t="s">
        <v>112</v>
      </c>
      <c r="E108" s="508" t="s">
        <v>435</v>
      </c>
      <c r="F108" s="508" t="s">
        <v>435</v>
      </c>
      <c r="G108" s="508" t="s">
        <v>435</v>
      </c>
      <c r="H108" s="508" t="s">
        <v>435</v>
      </c>
      <c r="I108" s="508" t="s">
        <v>435</v>
      </c>
      <c r="J108" s="355">
        <f t="shared" si="24"/>
        <v>0</v>
      </c>
    </row>
    <row r="109" spans="1:12" ht="14.25" customHeight="1" x14ac:dyDescent="0.25">
      <c r="B109" s="352" t="s">
        <v>281</v>
      </c>
      <c r="C109" s="353" t="s">
        <v>258</v>
      </c>
      <c r="D109" s="354"/>
      <c r="E109" s="355">
        <f>SUM(E110:E112)</f>
        <v>0</v>
      </c>
      <c r="F109" s="355">
        <f t="shared" ref="F109:I109" si="26">SUM(F110:F112)</f>
        <v>0</v>
      </c>
      <c r="G109" s="355">
        <f t="shared" si="26"/>
        <v>0</v>
      </c>
      <c r="H109" s="355">
        <f t="shared" si="26"/>
        <v>0</v>
      </c>
      <c r="I109" s="355">
        <f t="shared" si="26"/>
        <v>0</v>
      </c>
      <c r="J109" s="355">
        <f t="shared" si="24"/>
        <v>0</v>
      </c>
    </row>
    <row r="110" spans="1:12" ht="14.25" customHeight="1" x14ac:dyDescent="0.25">
      <c r="A110" s="379"/>
      <c r="B110" s="378" t="s">
        <v>344</v>
      </c>
      <c r="C110" s="380" t="s">
        <v>346</v>
      </c>
      <c r="D110" s="224" t="s">
        <v>112</v>
      </c>
      <c r="E110" s="367">
        <f>IF(DelkaProjektu&gt;=1,KyberBezpecCelkem+BezpecDohled,0)</f>
        <v>0</v>
      </c>
      <c r="F110" s="367">
        <f>IF(DelkaProjektu&gt;=2,KyberBezpecCelkem+BezpecDohled,0)</f>
        <v>0</v>
      </c>
      <c r="G110" s="367">
        <f>IF(DelkaProjektu&gt;=3,KyberBezpecCelkem+BezpecDohled,0)</f>
        <v>0</v>
      </c>
      <c r="H110" s="367">
        <f>IF(DelkaProjektu&gt;=4,KyberBezpecCelkem+BezpecDohled,0)</f>
        <v>0</v>
      </c>
      <c r="I110" s="367">
        <f>IF(DelkaProjektu&gt;=5,KyberBezpecCelkem+BezpecDohled,0)</f>
        <v>0</v>
      </c>
      <c r="J110" s="367">
        <f t="shared" si="24"/>
        <v>0</v>
      </c>
    </row>
    <row r="111" spans="1:12" ht="14.25" customHeight="1" x14ac:dyDescent="0.25">
      <c r="A111" s="379"/>
      <c r="B111" s="378" t="s">
        <v>345</v>
      </c>
      <c r="C111" s="380" t="s">
        <v>280</v>
      </c>
      <c r="D111" s="224" t="s">
        <v>112</v>
      </c>
      <c r="E111" s="367">
        <f>IF(DelkaProjektu&gt;=1,'2. Vstupní data on-premise '!$F130*'2. Vstupní data on-premise '!$E130,0)</f>
        <v>0</v>
      </c>
      <c r="F111" s="367">
        <f>IF(DelkaProjektu&gt;=2,'2. Vstupní data on-premise '!$F130*'2. Vstupní data on-premise '!$E130,0)</f>
        <v>0</v>
      </c>
      <c r="G111" s="367">
        <f>IF(DelkaProjektu&gt;=3,'2. Vstupní data on-premise '!$F130*'2. Vstupní data on-premise '!$E130,0)</f>
        <v>0</v>
      </c>
      <c r="H111" s="367">
        <f>IF(DelkaProjektu&gt;=4,'2. Vstupní data on-premise '!$F130*'2. Vstupní data on-premise '!$E130,0)</f>
        <v>0</v>
      </c>
      <c r="I111" s="367">
        <f>IF(DelkaProjektu&gt;=5,'2. Vstupní data on-premise '!$F130*'2. Vstupní data on-premise '!$E130,0)</f>
        <v>0</v>
      </c>
      <c r="J111" s="367">
        <f t="shared" si="24"/>
        <v>0</v>
      </c>
      <c r="L111" s="377"/>
    </row>
    <row r="112" spans="1:12" ht="14.25" customHeight="1" thickBot="1" x14ac:dyDescent="0.3">
      <c r="A112" s="379"/>
      <c r="B112" s="378" t="s">
        <v>359</v>
      </c>
      <c r="C112" s="380" t="s">
        <v>218</v>
      </c>
      <c r="D112" s="224" t="s">
        <v>112</v>
      </c>
      <c r="E112" s="367">
        <f>IF('2. Vstupní data on-premise '!$D82="ANO",BezpecProjekt,IF('2. Vstupní data on-premise '!$D82="NE",IF(DelkaProjektu=1,BezpecProjekt/DelkaProjektu,IF(DelkaProjektu=2,BezpecProjekt/DelkaProjektu,IF(DelkaProjektu=3,BezpecProjekt/DelkaProjektu,IF(DelkaProjektu=4,BezpecProjekt/DelkaProjektu,IF(DelkaProjektu=5,BezpecProjekt/DelkaProjektu)))))))</f>
        <v>0</v>
      </c>
      <c r="F112" s="367">
        <f>IF('2. Vstupní data on-premise '!$D82="ANO",0,IF('2. Vstupní data on-premise '!$D82="NE",IF(DelkaProjektu=1,0,IF(DelkaProjektu=2,BezpecProjekt/DelkaProjektu,IF(DelkaProjektu=3,BezpecProjekt/DelkaProjektu,IF(DelkaProjektu=4,BezpecProjekt/DelkaProjektu,IF(DelkaProjektu=5,BezpecProjekt/DelkaProjektu)))))))</f>
        <v>0</v>
      </c>
      <c r="G112" s="367">
        <f>IF('2. Vstupní data on-premise '!$D82="ANO",0,IF('2. Vstupní data on-premise '!$D82="NE",IF(DelkaProjektu=1,0,IF(DelkaProjektu=2,0,IF(DelkaProjektu=3,BezpecProjekt/DelkaProjektu,IF(DelkaProjektu=4,BezpecProjekt/DelkaProjektu,IF(DelkaProjektu=5,BezpecProjekt/DelkaProjektu)))))))</f>
        <v>0</v>
      </c>
      <c r="H112" s="367">
        <f>IF('2. Vstupní data on-premise '!$D82="ANO",0,IF('2. Vstupní data on-premise '!$D82="NE",IF(DelkaProjektu=1,0,IF(DelkaProjektu=2,0,IF(DelkaProjektu=3,0,IF(DelkaProjektu=4,BezpecProjekt/DelkaProjektu,IF(DelkaProjektu=5,BezpecProjekt/DelkaProjektu)))))))</f>
        <v>0</v>
      </c>
      <c r="I112" s="367">
        <f>IF('2. Vstupní data on-premise '!$D82="ANO",0,IF('2. Vstupní data on-premise '!$D82="NE",IF(DelkaProjektu=1,0,IF(DelkaProjektu=2,0,IF(DelkaProjektu=3,0,IF(DelkaProjektu=4,0,IF(DelkaProjektu=5,BezpecProjekt/DelkaProjektu)))))))</f>
        <v>0</v>
      </c>
      <c r="J112" s="367">
        <f t="shared" si="24"/>
        <v>0</v>
      </c>
    </row>
    <row r="113" spans="2:11" ht="22.5" customHeight="1" thickTop="1" thickBot="1" x14ac:dyDescent="0.3">
      <c r="B113" s="364"/>
      <c r="C113" s="213" t="s">
        <v>131</v>
      </c>
      <c r="D113" s="214" t="s">
        <v>112</v>
      </c>
      <c r="E113" s="215">
        <f t="shared" ref="E113:J113" si="27">E106+E96+E72+E58+E31+E28</f>
        <v>0</v>
      </c>
      <c r="F113" s="215">
        <f t="shared" si="27"/>
        <v>0</v>
      </c>
      <c r="G113" s="215">
        <f t="shared" si="27"/>
        <v>0</v>
      </c>
      <c r="H113" s="215">
        <f t="shared" si="27"/>
        <v>0</v>
      </c>
      <c r="I113" s="215">
        <f t="shared" si="27"/>
        <v>0</v>
      </c>
      <c r="J113" s="215">
        <f t="shared" si="27"/>
        <v>0</v>
      </c>
      <c r="K113" s="381"/>
    </row>
    <row r="114" spans="2:11" ht="15.75" thickTop="1" x14ac:dyDescent="0.25">
      <c r="B114" s="364"/>
      <c r="C114" s="216" t="s">
        <v>159</v>
      </c>
      <c r="D114" s="217"/>
      <c r="E114" s="218">
        <f>E113/1000</f>
        <v>0</v>
      </c>
      <c r="F114" s="218">
        <f>F113/1000</f>
        <v>0</v>
      </c>
      <c r="G114" s="218">
        <f t="shared" ref="G114:I114" si="28">G113/1000</f>
        <v>0</v>
      </c>
      <c r="H114" s="218">
        <f t="shared" si="28"/>
        <v>0</v>
      </c>
      <c r="I114" s="218">
        <f t="shared" si="28"/>
        <v>0</v>
      </c>
      <c r="J114" s="208">
        <f>J113/1000</f>
        <v>0</v>
      </c>
      <c r="K114" s="382"/>
    </row>
    <row r="115" spans="2:11" ht="15.75" thickBot="1" x14ac:dyDescent="0.3">
      <c r="B115" s="364"/>
      <c r="C115" s="219" t="s">
        <v>181</v>
      </c>
      <c r="D115" s="220"/>
      <c r="E115" s="221">
        <f t="shared" ref="E115:J115" si="29">E113/PocetUzivatelu</f>
        <v>0</v>
      </c>
      <c r="F115" s="221">
        <f t="shared" si="29"/>
        <v>0</v>
      </c>
      <c r="G115" s="221">
        <f t="shared" si="29"/>
        <v>0</v>
      </c>
      <c r="H115" s="221">
        <f t="shared" si="29"/>
        <v>0</v>
      </c>
      <c r="I115" s="221">
        <f t="shared" si="29"/>
        <v>0</v>
      </c>
      <c r="J115" s="222">
        <f t="shared" si="29"/>
        <v>0</v>
      </c>
      <c r="K115" s="381"/>
    </row>
    <row r="116" spans="2:11" ht="15.75" thickTop="1" x14ac:dyDescent="0.25">
      <c r="B116" s="364"/>
      <c r="C116" s="223"/>
      <c r="D116" s="224"/>
      <c r="E116" s="225"/>
      <c r="F116" s="225"/>
      <c r="G116" s="225"/>
      <c r="H116" s="225"/>
      <c r="I116" s="225"/>
      <c r="J116" s="226"/>
      <c r="K116" s="382"/>
    </row>
    <row r="117" spans="2:11" ht="15.75" thickBot="1" x14ac:dyDescent="0.3">
      <c r="B117" s="364"/>
      <c r="C117" s="223"/>
      <c r="D117" s="224"/>
      <c r="E117" s="225"/>
      <c r="F117" s="225"/>
      <c r="G117" s="225"/>
      <c r="H117" s="225"/>
      <c r="I117" s="225"/>
      <c r="J117" s="226"/>
      <c r="K117" s="382"/>
    </row>
    <row r="118" spans="2:11" ht="15.75" thickBot="1" x14ac:dyDescent="0.3">
      <c r="B118" s="198"/>
      <c r="C118" s="198" t="s">
        <v>132</v>
      </c>
      <c r="D118" s="5"/>
      <c r="E118" s="199" t="s">
        <v>3</v>
      </c>
      <c r="F118" s="199" t="s">
        <v>4</v>
      </c>
      <c r="G118" s="199" t="s">
        <v>5</v>
      </c>
      <c r="H118" s="199" t="s">
        <v>6</v>
      </c>
      <c r="I118" s="199" t="s">
        <v>7</v>
      </c>
      <c r="J118" s="199" t="s">
        <v>8</v>
      </c>
      <c r="K118" s="382"/>
    </row>
    <row r="119" spans="2:11" x14ac:dyDescent="0.25">
      <c r="B119" s="349" t="s">
        <v>17</v>
      </c>
      <c r="C119" s="350" t="s">
        <v>18</v>
      </c>
      <c r="D119" s="350" t="s">
        <v>112</v>
      </c>
      <c r="E119" s="351">
        <f>SUM(E120:E121)</f>
        <v>0</v>
      </c>
      <c r="F119" s="351">
        <f t="shared" ref="F119:G119" si="30">SUM(F120:F121)</f>
        <v>0</v>
      </c>
      <c r="G119" s="351">
        <f t="shared" si="30"/>
        <v>0</v>
      </c>
      <c r="H119" s="351">
        <f>SUM(H120:H121)</f>
        <v>0</v>
      </c>
      <c r="I119" s="351">
        <f>SUM(I120:I121)</f>
        <v>0</v>
      </c>
      <c r="J119" s="351">
        <f>SUM(E119:I119)</f>
        <v>0</v>
      </c>
      <c r="K119" s="382"/>
    </row>
    <row r="120" spans="2:11" x14ac:dyDescent="0.25">
      <c r="B120" s="352" t="s">
        <v>9</v>
      </c>
      <c r="C120" s="353" t="s">
        <v>11</v>
      </c>
      <c r="D120" s="354" t="s">
        <v>112</v>
      </c>
      <c r="E120" s="355">
        <f>IF('3. Vstupní data cloud'!$D$65="ANO",(('3. Vstupní data cloud'!$E$59*'3. Vstupní data cloud'!$F$59)+'3. Vstupní data cloud'!$F$60),IF('3. Vstupní data cloud'!$D$65="NE",IF(DelkaProjektu=1,(('3. Vstupní data cloud'!$E$59*'3. Vstupní data cloud'!$F$59)+'3. Vstupní data cloud'!$F$60)/DelkaProjektu,IF(DelkaProjektu=2,(('3. Vstupní data cloud'!$E$59*'3. Vstupní data cloud'!$F$59)+'3. Vstupní data cloud'!$F$60)/DelkaProjektu,IF(DelkaProjektu=3,(('3. Vstupní data cloud'!$E$59*'3. Vstupní data cloud'!$F$59)+'3. Vstupní data cloud'!$F$60)/DelkaProjektu,IF(DelkaProjektu=4,(('3. Vstupní data cloud'!$E$59*'3. Vstupní data cloud'!$F$59)+'3. Vstupní data cloud'!$F$60)/DelkaProjektu,IF(DelkaProjektu=5,(('3. Vstupní data cloud'!$E$59*'3. Vstupní data cloud'!$F$59)+'3. Vstupní data cloud'!$F$60)/DelkaProjektu)))))))</f>
        <v>0</v>
      </c>
      <c r="F120" s="356">
        <f>IF('3. Vstupní data cloud'!$D$65="ANO",0,IF('3. Vstupní data cloud'!$D$65="NE",IF(DelkaProjektu=1,0,IF(DelkaProjektu=2,(('3. Vstupní data cloud'!$E$59*'3. Vstupní data cloud'!$F$59)+'3. Vstupní data cloud'!$F$60)/DelkaProjektu,IF(DelkaProjektu=3,(('3. Vstupní data cloud'!$E$59*'3. Vstupní data cloud'!$F$59)+'3. Vstupní data cloud'!$F$60)/DelkaProjektu,IF(DelkaProjektu=4,(('3. Vstupní data cloud'!$E$59*'3. Vstupní data cloud'!$F$59)+'3. Vstupní data cloud'!$F$60)/DelkaProjektu,IF(DelkaProjektu=5,(('3. Vstupní data cloud'!$E$59*'3. Vstupní data cloud'!$F$59)+'3. Vstupní data cloud'!$F$60)/DelkaProjektu)))))))</f>
        <v>0</v>
      </c>
      <c r="G120" s="356">
        <f>IF('3. Vstupní data cloud'!$D$65="ANO",0,IF('3. Vstupní data cloud'!$D$65="NE",IF(DelkaProjektu=1,0,IF(DelkaProjektu=2,0,IF(DelkaProjektu=3,(('3. Vstupní data cloud'!$E$59*'3. Vstupní data cloud'!$F$59)+'3. Vstupní data cloud'!$F$60)/DelkaProjektu,IF(DelkaProjektu=4,(('3. Vstupní data cloud'!$E$59*'3. Vstupní data cloud'!$F$59)+'3. Vstupní data cloud'!$F$60)/DelkaProjektu,IF(DelkaProjektu=5,(('3. Vstupní data cloud'!$E$59*'3. Vstupní data cloud'!$F$59)+'3. Vstupní data cloud'!$F$60)/DelkaProjektu)))))))</f>
        <v>0</v>
      </c>
      <c r="H120" s="356">
        <f>IF('3. Vstupní data cloud'!$D$65="ANO",0,IF('3. Vstupní data cloud'!$D$65="NE",IF(DelkaProjektu=1,0,IF(DelkaProjektu=2,0,IF(DelkaProjektu=3,0,IF(DelkaProjektu=4,(('3. Vstupní data cloud'!$E$59*'3. Vstupní data cloud'!$F$59)+'3. Vstupní data cloud'!$F$60)/DelkaProjektu,IF(DelkaProjektu=5,(('3. Vstupní data cloud'!$E$59*'3. Vstupní data cloud'!$F$59)+'3. Vstupní data cloud'!$F$60)/DelkaProjektu)))))))</f>
        <v>0</v>
      </c>
      <c r="I120" s="356">
        <f>IF('3. Vstupní data cloud'!$D$65="ANO",0,IF('3. Vstupní data cloud'!$D$65="NE",IF(DelkaProjektu=1,0,IF(DelkaProjektu=2,0,IF(DelkaProjektu=3,0,IF(DelkaProjektu=4,0,IF(DelkaProjektu=5,(('3. Vstupní data cloud'!$E$59*'3. Vstupní data cloud'!$F$59)+'3. Vstupní data cloud'!$F$60)/DelkaProjektu)))))))</f>
        <v>0</v>
      </c>
      <c r="J120" s="374">
        <f>SUM(E120:I120)</f>
        <v>0</v>
      </c>
      <c r="K120" s="382"/>
    </row>
    <row r="121" spans="2:11" x14ac:dyDescent="0.25">
      <c r="B121" s="357" t="s">
        <v>10</v>
      </c>
      <c r="C121" s="358" t="s">
        <v>12</v>
      </c>
      <c r="D121" s="359" t="s">
        <v>112</v>
      </c>
      <c r="E121" s="355">
        <f>IF('3. Vstupní data cloud'!$D$65="ANO",('3. Vstupní data cloud'!$E$61*'3. Vstupní data cloud'!$F$61+'3. Vstupní data cloud'!$F$62),IF('3. Vstupní data cloud'!$D$65="NE",IF(DelkaProjektu=1,('3. Vstupní data cloud'!$E$61*'3. Vstupní data cloud'!$F$61+'3. Vstupní data cloud'!$F$62)/DelkaProjektu,IF(DelkaProjektu=2,('3. Vstupní data cloud'!$E$61*'3. Vstupní data cloud'!$F$61+'3. Vstupní data cloud'!$F$62)/DelkaProjektu,IF(DelkaProjektu=3,('3. Vstupní data cloud'!$E$61*'3. Vstupní data cloud'!$F$61+'3. Vstupní data cloud'!$F$62)/DelkaProjektu,IF(DelkaProjektu=4,('3. Vstupní data cloud'!$E$61*'3. Vstupní data cloud'!$F$61+'3. Vstupní data cloud'!$F$62)/DelkaProjektu,IF(DelkaProjektu=5,('3. Vstupní data cloud'!$E$61*'3. Vstupní data cloud'!$F$61+'3. Vstupní data cloud'!$F$62)/DelkaProjektu)))))))</f>
        <v>0</v>
      </c>
      <c r="F121" s="356">
        <f>IF('3. Vstupní data cloud'!$D$65="ANO",0,IF('3. Vstupní data cloud'!$D$65="NE",IF(DelkaProjektu=1,0,IF(DelkaProjektu=2,('3. Vstupní data cloud'!$E$61*'3. Vstupní data cloud'!$F$61+'3. Vstupní data cloud'!$F$62)/DelkaProjektu,IF(DelkaProjektu=3,('3. Vstupní data cloud'!$E$61*'3. Vstupní data cloud'!$F$61+'3. Vstupní data cloud'!$F$62)/DelkaProjektu,IF(DelkaProjektu=4,('3. Vstupní data cloud'!$E$61*'3. Vstupní data cloud'!$F$61+'3. Vstupní data cloud'!$F$62)/DelkaProjektu,IF(DelkaProjektu=5,('3. Vstupní data cloud'!$E$61*'3. Vstupní data cloud'!$F$61+'3. Vstupní data cloud'!$F$62)/DelkaProjektu)))))))</f>
        <v>0</v>
      </c>
      <c r="G121" s="356">
        <f>IF('3. Vstupní data cloud'!$D$65="ANO",0,IF('3. Vstupní data cloud'!$D$65="NE",IF(DelkaProjektu=1,0,IF(DelkaProjektu=2,0,IF(DelkaProjektu=3,('3. Vstupní data cloud'!$E$61*'3. Vstupní data cloud'!$F$61+'3. Vstupní data cloud'!$F$62)/DelkaProjektu,IF(DelkaProjektu=4,('3. Vstupní data cloud'!$E$61*'3. Vstupní data cloud'!$F$61+'3. Vstupní data cloud'!$F$62)/DelkaProjektu,IF(DelkaProjektu=5,('3. Vstupní data cloud'!$E$61*'3. Vstupní data cloud'!$F$61+'3. Vstupní data cloud'!$F$62)/DelkaProjektu)))))))</f>
        <v>0</v>
      </c>
      <c r="H121" s="356">
        <f>IF('3. Vstupní data cloud'!$D$65="ANO",0,IF('3. Vstupní data cloud'!$D$65="NE",IF(DelkaProjektu=1,0,IF(DelkaProjektu=2,0,IF(DelkaProjektu=3,0,IF(DelkaProjektu=4,('3. Vstupní data cloud'!$E$61*'3. Vstupní data cloud'!$F$61+'3. Vstupní data cloud'!$F$62)/DelkaProjektu,IF(DelkaProjektu=5,('3. Vstupní data cloud'!$E$61*'3. Vstupní data cloud'!$F$61+'3. Vstupní data cloud'!$F$62)/DelkaProjektu)))))))</f>
        <v>0</v>
      </c>
      <c r="I121" s="356">
        <f>IF('3. Vstupní data cloud'!$D$65="ANO",0,IF('3. Vstupní data cloud'!$D$65="NE",IF(DelkaProjektu=1,0,IF(DelkaProjektu=2,0,IF(DelkaProjektu=3,0,IF(DelkaProjektu=4,0,IF(DelkaProjektu=5,('3. Vstupní data cloud'!$E$61*'3. Vstupní data cloud'!$F$61+'3. Vstupní data cloud'!$F$62)/DelkaProjektu)))))))</f>
        <v>0</v>
      </c>
      <c r="J121" s="360">
        <f>SUM(E121:I121)</f>
        <v>0</v>
      </c>
      <c r="K121" s="382"/>
    </row>
    <row r="122" spans="2:11" x14ac:dyDescent="0.25">
      <c r="B122" s="361" t="s">
        <v>114</v>
      </c>
      <c r="C122" s="362" t="s">
        <v>19</v>
      </c>
      <c r="D122" s="362" t="s">
        <v>112</v>
      </c>
      <c r="E122" s="363">
        <f>E123+E127+E128+E129</f>
        <v>0</v>
      </c>
      <c r="F122" s="363">
        <f t="shared" ref="F122:I122" si="31">F123+F127+F128+F129</f>
        <v>0</v>
      </c>
      <c r="G122" s="363">
        <f t="shared" si="31"/>
        <v>0</v>
      </c>
      <c r="H122" s="363">
        <f t="shared" si="31"/>
        <v>0</v>
      </c>
      <c r="I122" s="363">
        <f t="shared" si="31"/>
        <v>0</v>
      </c>
      <c r="J122" s="363">
        <f>SUM(E122:I122)</f>
        <v>0</v>
      </c>
      <c r="K122" s="382"/>
    </row>
    <row r="123" spans="2:11" x14ac:dyDescent="0.25">
      <c r="B123" s="352" t="s">
        <v>20</v>
      </c>
      <c r="C123" s="353" t="s">
        <v>21</v>
      </c>
      <c r="D123" s="354" t="s">
        <v>112</v>
      </c>
      <c r="E123" s="355">
        <f>SUM(E124:E126)</f>
        <v>0</v>
      </c>
      <c r="F123" s="355">
        <f>SUM(F124:F126)</f>
        <v>0</v>
      </c>
      <c r="G123" s="355">
        <f t="shared" ref="G123" si="32">SUM(G124:G126)</f>
        <v>0</v>
      </c>
      <c r="H123" s="355">
        <f>SUM(H124:H126)</f>
        <v>0</v>
      </c>
      <c r="I123" s="355">
        <f>SUM(I124:I126)</f>
        <v>0</v>
      </c>
      <c r="J123" s="355">
        <f>SUM(J124:J126)</f>
        <v>0</v>
      </c>
      <c r="K123" s="382"/>
    </row>
    <row r="124" spans="2:11" outlineLevel="1" x14ac:dyDescent="0.25">
      <c r="B124" s="364" t="s">
        <v>13</v>
      </c>
      <c r="C124" s="365" t="s">
        <v>22</v>
      </c>
      <c r="D124" s="366" t="s">
        <v>112</v>
      </c>
      <c r="E124" s="508" t="s">
        <v>435</v>
      </c>
      <c r="F124" s="508" t="s">
        <v>435</v>
      </c>
      <c r="G124" s="508" t="s">
        <v>435</v>
      </c>
      <c r="H124" s="508" t="s">
        <v>435</v>
      </c>
      <c r="I124" s="508" t="s">
        <v>435</v>
      </c>
      <c r="J124" s="383">
        <f>SUM(E124:I124)</f>
        <v>0</v>
      </c>
      <c r="K124" s="382"/>
    </row>
    <row r="125" spans="2:11" outlineLevel="1" x14ac:dyDescent="0.25">
      <c r="B125" s="364" t="s">
        <v>14</v>
      </c>
      <c r="C125" s="365" t="s">
        <v>23</v>
      </c>
      <c r="D125" s="366" t="s">
        <v>112</v>
      </c>
      <c r="E125" s="508" t="s">
        <v>435</v>
      </c>
      <c r="F125" s="508" t="s">
        <v>435</v>
      </c>
      <c r="G125" s="508" t="s">
        <v>435</v>
      </c>
      <c r="H125" s="508" t="s">
        <v>435</v>
      </c>
      <c r="I125" s="508" t="s">
        <v>435</v>
      </c>
      <c r="J125" s="383">
        <f t="shared" ref="J125:J126" si="33">SUM(E125:I125)</f>
        <v>0</v>
      </c>
      <c r="K125" s="382"/>
    </row>
    <row r="126" spans="2:11" outlineLevel="1" x14ac:dyDescent="0.25">
      <c r="B126" s="364" t="s">
        <v>16</v>
      </c>
      <c r="C126" s="365" t="s">
        <v>24</v>
      </c>
      <c r="D126" s="366" t="s">
        <v>112</v>
      </c>
      <c r="E126" s="508" t="s">
        <v>435</v>
      </c>
      <c r="F126" s="508" t="s">
        <v>435</v>
      </c>
      <c r="G126" s="508" t="s">
        <v>435</v>
      </c>
      <c r="H126" s="508" t="s">
        <v>435</v>
      </c>
      <c r="I126" s="508" t="s">
        <v>435</v>
      </c>
      <c r="J126" s="383">
        <f t="shared" si="33"/>
        <v>0</v>
      </c>
      <c r="K126" s="382"/>
    </row>
    <row r="127" spans="2:11" x14ac:dyDescent="0.25">
      <c r="B127" s="352" t="s">
        <v>25</v>
      </c>
      <c r="C127" s="384" t="s">
        <v>374</v>
      </c>
      <c r="D127" s="354" t="s">
        <v>112</v>
      </c>
      <c r="E127" s="355">
        <f>IF('3. Vstupní data cloud'!$D$50="ANO",HWuzivateleCloud,IF('3. Vstupní data cloud'!$D$50="NE",IF(DelkaProjektu=1,HWuzivateleCloud/DelkaProjektu,IF(DelkaProjektu=2,HWuzivateleCloud/DelkaProjektu,IF(DelkaProjektu=3,HWuzivateleCloud/DelkaProjektu,IF(DelkaProjektu=4,HWuzivateleCloud/DelkaProjektu,IF(DelkaProjektu=5,HWuzivateleCloud/DelkaProjektu)))))))</f>
        <v>0</v>
      </c>
      <c r="F127" s="355">
        <f>IF('3. Vstupní data cloud'!$D$50="ANO",0,IF('3. Vstupní data cloud'!$D$50="NE",IF(DelkaProjektu=1,0,IF(DelkaProjektu=2,HWuzivateleCloud/DelkaProjektu,IF(DelkaProjektu=3,HWuzivateleCloud/DelkaProjektu,IF(DelkaProjektu=4,HWuzivateleCloud/DelkaProjektu,IF(DelkaProjektu=5,HWuzivateleCloud/DelkaProjektu)))))))</f>
        <v>0</v>
      </c>
      <c r="G127" s="355">
        <f>IF('3. Vstupní data cloud'!$D$50="ANO",0,IF('3. Vstupní data cloud'!$D$50="NE",IF(DelkaProjektu=1,0,IF(DelkaProjektu=2,0,IF(DelkaProjektu=3,HWuzivateleCloud/DelkaProjektu,IF(DelkaProjektu=4,HWuzivateleCloud/DelkaProjektu,IF(DelkaProjektu=5,HWuzivateleCloud/DelkaProjektu)))))))</f>
        <v>0</v>
      </c>
      <c r="H127" s="355">
        <f>IF('3. Vstupní data cloud'!$D$50="ANO",0,IF('3. Vstupní data cloud'!$D$50="NE",IF(DelkaProjektu=1,0,IF(DelkaProjektu=2,0,IF(DelkaProjektu=3,0,IF(DelkaProjektu=4,HWuzivateleCloud/DelkaProjektu,IF(DelkaProjektu=5,HWuzivateleCloud/DelkaProjektu)))))))</f>
        <v>0</v>
      </c>
      <c r="I127" s="355">
        <f>IF('3. Vstupní data cloud'!$D$50="ANO",0,IF('3. Vstupní data cloud'!$D$50="NE",IF(DelkaProjektu=1,0,IF(DelkaProjektu=2,0,IF(DelkaProjektu=3,0,IF(DelkaProjektu=4,0,IF(DelkaProjektu=5,HWuzivateleCloud/DelkaProjektu)))))))</f>
        <v>0</v>
      </c>
      <c r="J127" s="355">
        <f>SUM(E127:I127)</f>
        <v>0</v>
      </c>
      <c r="K127" s="382"/>
    </row>
    <row r="128" spans="2:11" x14ac:dyDescent="0.25">
      <c r="B128" s="352" t="s">
        <v>33</v>
      </c>
      <c r="C128" s="384" t="s">
        <v>375</v>
      </c>
      <c r="D128" s="354" t="s">
        <v>112</v>
      </c>
      <c r="E128" s="355">
        <f>IF('3. Vstupní data cloud'!$D$51="ANO",SWkoncovehoUzivateleCloud,IF('3. Vstupní data cloud'!$D$51="NE",IF(DelkaProjektu=1,SWkoncovehoUzivateleCloud/DelkaProjektu,IF(DelkaProjektu=2,SWkoncovehoUzivateleCloud/DelkaProjektu,IF(DelkaProjektu=3,SWkoncovehoUzivateleCloud/DelkaProjektu,IF(DelkaProjektu=4,SWkoncovehoUzivateleCloud/DelkaProjektu,IF(DelkaProjektu=5,SWkoncovehoUzivateleCloud/DelkaProjektu)))))))</f>
        <v>0</v>
      </c>
      <c r="F128" s="355">
        <f>IF('3. Vstupní data cloud'!$D$51="ANO",0,IF('3. Vstupní data cloud'!$D$51="NE",IF(DelkaProjektu=1,0,IF(DelkaProjektu=2,SWkoncovehoUzivateleCloud/DelkaProjektu,IF(DelkaProjektu=3,SWkoncovehoUzivateleCloud/DelkaProjektu,IF(DelkaProjektu=4,SWkoncovehoUzivateleCloud/DelkaProjektu,IF(DelkaProjektu=5,SWkoncovehoUzivateleCloud/DelkaProjektu)))))))</f>
        <v>0</v>
      </c>
      <c r="G128" s="355">
        <f>IF('3. Vstupní data cloud'!$D$51="ANO",0,IF('3. Vstupní data cloud'!$D$51="NE",IF(DelkaProjektu=1,0,IF(DelkaProjektu=2,0,IF(DelkaProjektu=3,SWkoncovehoUzivateleCloud/DelkaProjektu,IF(DelkaProjektu=4,SWkoncovehoUzivateleCloud/DelkaProjektu,IF(DelkaProjektu=5,SWkoncovehoUzivateleCloud/DelkaProjektu)))))))</f>
        <v>0</v>
      </c>
      <c r="H128" s="355">
        <f>IF('3. Vstupní data cloud'!$D$51="ANO",0,IF('3. Vstupní data cloud'!$D$51="NE",IF(DelkaProjektu=1,0,IF(DelkaProjektu=2,0,IF(DelkaProjektu=3,0,IF(DelkaProjektu=4,SWkoncovehoUzivateleCloud/DelkaProjektu,IF(DelkaProjektu=5,SWkoncovehoUzivateleCloud/DelkaProjektu)))))))</f>
        <v>0</v>
      </c>
      <c r="I128" s="355">
        <f>IF('3. Vstupní data cloud'!$D$51="ANO",0,IF('3. Vstupní data cloud'!$D$51="NE",IF(DelkaProjektu=1,0,IF(DelkaProjektu=2,0,IF(DelkaProjektu=3,0,IF(DelkaProjektu=4,0,IF(DelkaProjektu=5,SWkoncovehoUzivateleCloud/DelkaProjektu)))))))</f>
        <v>0</v>
      </c>
      <c r="J128" s="355">
        <f>SUM(E128:I128)</f>
        <v>0</v>
      </c>
      <c r="K128" s="382"/>
    </row>
    <row r="129" spans="2:11" x14ac:dyDescent="0.25">
      <c r="B129" s="352" t="s">
        <v>38</v>
      </c>
      <c r="C129" s="385" t="s">
        <v>376</v>
      </c>
      <c r="D129" s="354" t="s">
        <v>112</v>
      </c>
      <c r="E129" s="355">
        <f>IF('3. Vstupní data cloud'!$D$43="ANO",ApliSWCloud,IF('3. Vstupní data cloud'!$D$43="NE",IF(DelkaProjektu=1,ApliSWCloud/DelkaProjektu,IF(DelkaProjektu=2,ApliSWCloud/DelkaProjektu,IF(DelkaProjektu=3,ApliSWCloud/DelkaProjektu,IF(DelkaProjektu=4,ApliSWCloud/DelkaProjektu,IF(DelkaProjektu=5,ApliSWCloud/DelkaProjektu)))))))</f>
        <v>0</v>
      </c>
      <c r="F129" s="355">
        <f>IF('3. Vstupní data cloud'!$D$43="ANO",0,IF('3. Vstupní data cloud'!$D$43="NE",IF(DelkaProjektu=1,0,IF(DelkaProjektu=2,ApliSWCloud/DelkaProjektu,IF(DelkaProjektu=3,ApliSWCloud/DelkaProjektu,IF(DelkaProjektu=4,ApliSWCloud/DelkaProjektu,IF(DelkaProjektu=5,ApliSWCloud/DelkaProjektu)))))))</f>
        <v>0</v>
      </c>
      <c r="G129" s="355">
        <f>IF('3. Vstupní data cloud'!$D$43="ANO",0,IF('3. Vstupní data cloud'!$D$43="NE",IF(DelkaProjektu=1,0,IF(DelkaProjektu=2,0,IF(DelkaProjektu=3,ApliSWCloud/DelkaProjektu,IF(DelkaProjektu=4,ApliSWCloud/DelkaProjektu,IF(DelkaProjektu=5,ApliSWCloud/DelkaProjektu)))))))</f>
        <v>0</v>
      </c>
      <c r="H129" s="355">
        <f>IF('3. Vstupní data cloud'!$D$43="ANO",0,IF('3. Vstupní data cloud'!$D$43="NE",IF(DelkaProjektu=1,0,IF(DelkaProjektu=2,0,IF(DelkaProjektu=3,0,IF(DelkaProjektu=4,ApliSWCloud/DelkaProjektu,IF(DelkaProjektu=5,ApliSWCloud/DelkaProjektu)))))))</f>
        <v>0</v>
      </c>
      <c r="I129" s="355">
        <f>IF('3. Vstupní data cloud'!$D$43="ANO",0,IF('3. Vstupní data cloud'!$D$43="NE",IF(DelkaProjektu=1,0,IF(DelkaProjektu=2,0,IF(DelkaProjektu=3,0,IF(DelkaProjektu=4,0,IF(DelkaProjektu=5,ApliSWCloud/DelkaProjektu)))))))</f>
        <v>0</v>
      </c>
      <c r="J129" s="355">
        <f>SUM(E129:I129)</f>
        <v>0</v>
      </c>
      <c r="K129" s="382"/>
    </row>
    <row r="130" spans="2:11" x14ac:dyDescent="0.25">
      <c r="B130" s="371" t="s">
        <v>48</v>
      </c>
      <c r="C130" s="372" t="s">
        <v>49</v>
      </c>
      <c r="D130" s="372" t="s">
        <v>112</v>
      </c>
      <c r="E130" s="373">
        <f>SUM(E131:E143)</f>
        <v>0</v>
      </c>
      <c r="F130" s="373">
        <f t="shared" ref="F130:I130" si="34">SUM(F131:F143)</f>
        <v>0</v>
      </c>
      <c r="G130" s="373">
        <f t="shared" si="34"/>
        <v>0</v>
      </c>
      <c r="H130" s="373">
        <f t="shared" si="34"/>
        <v>0</v>
      </c>
      <c r="I130" s="373">
        <f t="shared" si="34"/>
        <v>0</v>
      </c>
      <c r="J130" s="373">
        <f>SUM(E130:I130)</f>
        <v>0</v>
      </c>
      <c r="K130" s="386"/>
    </row>
    <row r="131" spans="2:11" x14ac:dyDescent="0.25">
      <c r="B131" s="352" t="s">
        <v>50</v>
      </c>
      <c r="C131" s="369" t="s">
        <v>188</v>
      </c>
      <c r="D131" s="354" t="s">
        <v>112</v>
      </c>
      <c r="E131" s="355">
        <f>IF('3. Vstupní data cloud'!$D$85="ANO",'3. Vstupní data cloud'!$E$68*'3. Vstupní data cloud'!$F$68,IF('3. Vstupní data cloud'!$D$85="NE",IF(DelkaProjektu=1,'3. Vstupní data cloud'!$E$68*'3. Vstupní data cloud'!$F$68/DelkaProjektu,IF(DelkaProjektu=2,'3. Vstupní data cloud'!$E$68*'3. Vstupní data cloud'!$F$68/DelkaProjektu,IF(DelkaProjektu=3,'3. Vstupní data cloud'!$E$68*'3. Vstupní data cloud'!$F$68/DelkaProjektu,IF(DelkaProjektu=4,'3. Vstupní data cloud'!$E$68*'3. Vstupní data cloud'!$F$68/DelkaProjektu,IF(DelkaProjektu=5,'3. Vstupní data cloud'!$E$68*'3. Vstupní data cloud'!$F$68/DelkaProjektu)))))))</f>
        <v>0</v>
      </c>
      <c r="F131" s="356">
        <f>IF('3. Vstupní data cloud'!$D$85="ANO",0,IF('3. Vstupní data cloud'!$D$85="NE",IF(DelkaProjektu=1,0,IF(DelkaProjektu=2,'3. Vstupní data cloud'!$E$68*'3. Vstupní data cloud'!$F$68/DelkaProjektu,IF(DelkaProjektu=3,'3. Vstupní data cloud'!$E$68*'3. Vstupní data cloud'!$F$68/DelkaProjektu,IF(DelkaProjektu=4,'3. Vstupní data cloud'!$E$68*'3. Vstupní data cloud'!$F$68/DelkaProjektu,IF(DelkaProjektu=5,'3. Vstupní data cloud'!$E$68*'3. Vstupní data cloud'!$F$68/DelkaProjektu)))))))</f>
        <v>0</v>
      </c>
      <c r="G131" s="356">
        <f>IF('3. Vstupní data cloud'!$D$85="ANO",0,IF('3. Vstupní data cloud'!$D$85="NE",IF(DelkaProjektu=1,0,IF(DelkaProjektu=2,0,IF(DelkaProjektu=3,'3. Vstupní data cloud'!$E$68*'3. Vstupní data cloud'!$F$68/DelkaProjektu,IF(DelkaProjektu=4,'3. Vstupní data cloud'!$E$68*'3. Vstupní data cloud'!$F$68/DelkaProjektu,IF(DelkaProjektu=5,'3. Vstupní data cloud'!$E$68*'3. Vstupní data cloud'!$F$68/DelkaProjektu)))))))</f>
        <v>0</v>
      </c>
      <c r="H131" s="356">
        <f>IF('3. Vstupní data cloud'!$D$85="ANO",0,IF('3. Vstupní data cloud'!$D$85="NE",IF(DelkaProjektu=1,0,IF(DelkaProjektu=2,0,IF(DelkaProjektu=3,0,IF(DelkaProjektu=4,'3. Vstupní data cloud'!$E$68*'3. Vstupní data cloud'!$F$68/DelkaProjektu,IF(DelkaProjektu=5,'3. Vstupní data cloud'!$E$68*'3. Vstupní data cloud'!$F$68/DelkaProjektu)))))))</f>
        <v>0</v>
      </c>
      <c r="I131" s="356">
        <f>IF('3. Vstupní data cloud'!$D$85="ANO",0,IF('3. Vstupní data cloud'!$D$85="NE",IF(DelkaProjektu=1,0,IF(DelkaProjektu=2,0,IF(DelkaProjektu=3,0,IF(DelkaProjektu=4,0,IF(DelkaProjektu=5,'3. Vstupní data cloud'!$E$68*'3. Vstupní data cloud'!$F$68/DelkaProjektu)))))))</f>
        <v>0</v>
      </c>
      <c r="J131" s="374">
        <f>SUM(E131:I131)</f>
        <v>0</v>
      </c>
      <c r="K131" s="382"/>
    </row>
    <row r="132" spans="2:11" x14ac:dyDescent="0.25">
      <c r="B132" s="352" t="s">
        <v>52</v>
      </c>
      <c r="C132" s="369" t="s">
        <v>189</v>
      </c>
      <c r="D132" s="354" t="s">
        <v>112</v>
      </c>
      <c r="E132" s="355">
        <f>IF('3. Vstupní data cloud'!$D$85="ANO",'3. Vstupní data cloud'!$E$71*'3. Vstupní data cloud'!$F$71,IF('3. Vstupní data cloud'!$D$85="NE",IF(DelkaProjektu=1,'3. Vstupní data cloud'!$E$71*'3. Vstupní data cloud'!$F$71/DelkaProjektu,IF(DelkaProjektu=2,'3. Vstupní data cloud'!$E$71*'3. Vstupní data cloud'!$F$71/DelkaProjektu,IF(DelkaProjektu=3,'3. Vstupní data cloud'!$E$71*'3. Vstupní data cloud'!$F$71/DelkaProjektu,IF(DelkaProjektu=4,'3. Vstupní data cloud'!$E$71*'3. Vstupní data cloud'!$F$71/DelkaProjektu,IF(DelkaProjektu=5,'3. Vstupní data cloud'!$E$71*'3. Vstupní data cloud'!$F$71/DelkaProjektu)))))))</f>
        <v>0</v>
      </c>
      <c r="F132" s="356">
        <f>IF('3. Vstupní data cloud'!$D$85="ANO",0,IF('3. Vstupní data cloud'!$D$85="NE",IF(DelkaProjektu=1,0,IF(DelkaProjektu=2,'3. Vstupní data cloud'!$E$71*'3. Vstupní data cloud'!$F$71/DelkaProjektu,IF(DelkaProjektu=3,'3. Vstupní data cloud'!$E$71*'3. Vstupní data cloud'!$F$71/DelkaProjektu,IF(DelkaProjektu=4,'3. Vstupní data cloud'!$E$71*'3. Vstupní data cloud'!$F$71/DelkaProjektu,IF(DelkaProjektu=5,'3. Vstupní data cloud'!$E$71*'3. Vstupní data cloud'!$F$71/DelkaProjektu)))))))</f>
        <v>0</v>
      </c>
      <c r="G132" s="356">
        <f>IF('3. Vstupní data cloud'!$D$85="ANO",0,IF('3. Vstupní data cloud'!$D$85="NE",IF(DelkaProjektu=1,0,IF(DelkaProjektu=2,0,IF(DelkaProjektu=3,'3. Vstupní data cloud'!$E$71*'3. Vstupní data cloud'!$F$71/DelkaProjektu,IF(DelkaProjektu=4,'3. Vstupní data cloud'!$E$71*'3. Vstupní data cloud'!$F$71/DelkaProjektu,IF(DelkaProjektu=5,'3. Vstupní data cloud'!$E$71*'3. Vstupní data cloud'!$F$71/DelkaProjektu)))))))</f>
        <v>0</v>
      </c>
      <c r="H132" s="356">
        <f>IF('3. Vstupní data cloud'!$D$85="ANO",0,IF('3. Vstupní data cloud'!$D$85="NE",IF(DelkaProjektu=1,0,IF(DelkaProjektu=2,0,IF(DelkaProjektu=3,0,IF(DelkaProjektu=4,'3. Vstupní data cloud'!$E$71*'3. Vstupní data cloud'!$F$71/DelkaProjektu,IF(DelkaProjektu=5,'3. Vstupní data cloud'!$E$71*'3. Vstupní data cloud'!$F$71/DelkaProjektu)))))))</f>
        <v>0</v>
      </c>
      <c r="I132" s="356">
        <f>IF('3. Vstupní data cloud'!$D$85="ANO",0,IF('3. Vstupní data cloud'!$D$85="NE",IF(DelkaProjektu=1,0,IF(DelkaProjektu=2,0,IF(DelkaProjektu=3,0,IF(DelkaProjektu=4,0,IF(DelkaProjektu=5,'3. Vstupní data cloud'!$E$71*'3. Vstupní data cloud'!$F$71/DelkaProjektu)))))))</f>
        <v>0</v>
      </c>
      <c r="J132" s="374">
        <f t="shared" ref="J132:J143" si="35">SUM(E132:I132)</f>
        <v>0</v>
      </c>
      <c r="K132" s="382"/>
    </row>
    <row r="133" spans="2:11" x14ac:dyDescent="0.25">
      <c r="B133" s="352" t="s">
        <v>55</v>
      </c>
      <c r="C133" s="369" t="s">
        <v>54</v>
      </c>
      <c r="D133" s="354" t="s">
        <v>112</v>
      </c>
      <c r="E133" s="355">
        <f>IF('3. Vstupní data cloud'!$D$85="ANO",('3. Vstupní data cloud'!$E$70*'3. Vstupní data cloud'!$F$70+'3. Vstupní data cloud'!$E$69*'3. Vstupní data cloud'!$F$69),IF('3. Vstupní data cloud'!$D$85="NE",IF(DelkaProjektu=1,('3. Vstupní data cloud'!$E$70*'3. Vstupní data cloud'!$F$70+'3. Vstupní data cloud'!$E$69*'3. Vstupní data cloud'!$F$69)/DelkaProjektu,IF(DelkaProjektu=2,('3. Vstupní data cloud'!$E$70*'3. Vstupní data cloud'!$F$70+'3. Vstupní data cloud'!$E$69*'3. Vstupní data cloud'!$F$69)/DelkaProjektu,IF(DelkaProjektu=3,('3. Vstupní data cloud'!$E$70*'3. Vstupní data cloud'!$F$70+'3. Vstupní data cloud'!$E$69*'3. Vstupní data cloud'!$F$69)/DelkaProjektu,IF(DelkaProjektu=4,('3. Vstupní data cloud'!$E$70*'3. Vstupní data cloud'!$F$70+'3. Vstupní data cloud'!$E$69*'3. Vstupní data cloud'!$F$69)/DelkaProjektu,IF(DelkaProjektu=5,('3. Vstupní data cloud'!$E$70*'3. Vstupní data cloud'!$F$70+'3. Vstupní data cloud'!$E$69*'3. Vstupní data cloud'!$F$69)/DelkaProjektu)))))))</f>
        <v>0</v>
      </c>
      <c r="F133" s="356">
        <f>IF('3. Vstupní data cloud'!$D$85="ANO",0,IF('3. Vstupní data cloud'!$D$85="NE",IF(DelkaProjektu=1,0,IF(DelkaProjektu=2,('3. Vstupní data cloud'!$E$70*'3. Vstupní data cloud'!$F$70+'3. Vstupní data cloud'!$E$69*'3. Vstupní data cloud'!$F$69)/DelkaProjektu,IF(DelkaProjektu=3,('3. Vstupní data cloud'!$E$70*'3. Vstupní data cloud'!$F$70+'3. Vstupní data cloud'!$E$69*'3. Vstupní data cloud'!$F$69)/DelkaProjektu,IF(DelkaProjektu=4,('3. Vstupní data cloud'!$E$70*'3. Vstupní data cloud'!$F$70+'3. Vstupní data cloud'!$E$69*'3. Vstupní data cloud'!$F$69)/DelkaProjektu,IF(DelkaProjektu=5,('3. Vstupní data cloud'!$E$70*'3. Vstupní data cloud'!$F$70+'3. Vstupní data cloud'!$E$69*'3. Vstupní data cloud'!$F$69)/DelkaProjektu)))))))</f>
        <v>0</v>
      </c>
      <c r="G133" s="356">
        <f>IF('3. Vstupní data cloud'!$D$85="ANO",0,IF('3. Vstupní data cloud'!$D$85="NE",IF(DelkaProjektu=1,0,IF(DelkaProjektu=2,0,IF(DelkaProjektu=3,('3. Vstupní data cloud'!$E$70*'3. Vstupní data cloud'!$F$70+'3. Vstupní data cloud'!$E$69*'3. Vstupní data cloud'!$F$69)/DelkaProjektu,IF(DelkaProjektu=4,('3. Vstupní data cloud'!$E$70*'3. Vstupní data cloud'!$F$70+'3. Vstupní data cloud'!$E$69*'3. Vstupní data cloud'!$F$69)/DelkaProjektu,IF(DelkaProjektu=5,('3. Vstupní data cloud'!$E$70*'3. Vstupní data cloud'!$F$70+'3. Vstupní data cloud'!$E$69*'3. Vstupní data cloud'!$F$69)/DelkaProjektu)))))))</f>
        <v>0</v>
      </c>
      <c r="H133" s="356">
        <f>IF('3. Vstupní data cloud'!$D$85="ANO",0,IF('3. Vstupní data cloud'!$D$85="NE",IF(DelkaProjektu=1,0,IF(DelkaProjektu=2,0,IF(DelkaProjektu=3,0,IF(DelkaProjektu=4,('3. Vstupní data cloud'!$E$70*'3. Vstupní data cloud'!$F$70+'3. Vstupní data cloud'!$E$69*'3. Vstupní data cloud'!$F$69)/DelkaProjektu,IF(DelkaProjektu=5,('3. Vstupní data cloud'!$E$70*'3. Vstupní data cloud'!$F$70+'3. Vstupní data cloud'!$E$69*'3. Vstupní data cloud'!$F$69)/DelkaProjektu)))))))</f>
        <v>0</v>
      </c>
      <c r="I133" s="356">
        <f>IF('3. Vstupní data cloud'!$D$85="ANO",0,IF('3. Vstupní data cloud'!$D$85="NE",IF(DelkaProjektu=1,0,IF(DelkaProjektu=2,0,IF(DelkaProjektu=3,0,IF(DelkaProjektu=4,0,IF(DelkaProjektu=5,('3. Vstupní data cloud'!$E$70*'3. Vstupní data cloud'!$F$70+'3. Vstupní data cloud'!$E$69*'3. Vstupní data cloud'!$F$69)/DelkaProjektu)))))))</f>
        <v>0</v>
      </c>
      <c r="J133" s="374">
        <f t="shared" si="35"/>
        <v>0</v>
      </c>
      <c r="K133" s="382"/>
    </row>
    <row r="134" spans="2:11" x14ac:dyDescent="0.25">
      <c r="B134" s="352" t="s">
        <v>56</v>
      </c>
      <c r="C134" s="369" t="s">
        <v>154</v>
      </c>
      <c r="D134" s="354" t="s">
        <v>112</v>
      </c>
      <c r="E134" s="355">
        <f>IF('3. Vstupní data cloud'!$D$85="ANO",'3. Vstupní data cloud'!$E$72*'3. Vstupní data cloud'!$F$72,IF('3. Vstupní data cloud'!$D$85="NE",IF(DelkaProjektu=1,'3. Vstupní data cloud'!$E$72*'3. Vstupní data cloud'!$F$72/DelkaProjektu,IF(DelkaProjektu=2,'3. Vstupní data cloud'!$E$72*'3. Vstupní data cloud'!$F$72/DelkaProjektu,IF(DelkaProjektu=3,'3. Vstupní data cloud'!$E$72*'3. Vstupní data cloud'!$F$72/DelkaProjektu,IF(DelkaProjektu=4,'3. Vstupní data cloud'!$E$72*'3. Vstupní data cloud'!$F$72/DelkaProjektu,IF(DelkaProjektu=5,'3. Vstupní data cloud'!$E$72*'3. Vstupní data cloud'!$F$72/DelkaProjektu)))))))</f>
        <v>0</v>
      </c>
      <c r="F134" s="356">
        <f>IF('3. Vstupní data cloud'!$D$85="ANO",0,IF('3. Vstupní data cloud'!$D$85="NE",IF(DelkaProjektu=1,0,IF(DelkaProjektu=2,'3. Vstupní data cloud'!$E$72*'3. Vstupní data cloud'!$F$72/DelkaProjektu,IF(DelkaProjektu=3,'3. Vstupní data cloud'!$E$72*'3. Vstupní data cloud'!$F$72/DelkaProjektu,IF(DelkaProjektu=4,'3. Vstupní data cloud'!$E$72*'3. Vstupní data cloud'!$F$72/DelkaProjektu,IF(DelkaProjektu=5,'3. Vstupní data cloud'!$E$72*'3. Vstupní data cloud'!$F$72/DelkaProjektu)))))))</f>
        <v>0</v>
      </c>
      <c r="G134" s="356">
        <f>IF('3. Vstupní data cloud'!$D$85="ANO",0,IF('3. Vstupní data cloud'!$D$85="NE",IF(DelkaProjektu=1,0,IF(DelkaProjektu=2,0,IF(DelkaProjektu=3,'3. Vstupní data cloud'!$E$72*'3. Vstupní data cloud'!$F$72/DelkaProjektu,IF(DelkaProjektu=4,'3. Vstupní data cloud'!$E$72*'3. Vstupní data cloud'!$F$72/DelkaProjektu,IF(DelkaProjektu=5,'3. Vstupní data cloud'!$E$72*'3. Vstupní data cloud'!$F$72/DelkaProjektu)))))))</f>
        <v>0</v>
      </c>
      <c r="H134" s="356">
        <f>IF('3. Vstupní data cloud'!$D$85="ANO",0,IF('3. Vstupní data cloud'!$D$85="NE",IF(DelkaProjektu=1,0,IF(DelkaProjektu=2,0,IF(DelkaProjektu=3,0,IF(DelkaProjektu=4,'3. Vstupní data cloud'!$E$72*'3. Vstupní data cloud'!$F$72/DelkaProjektu,IF(DelkaProjektu=5,'3. Vstupní data cloud'!$E$72*'3. Vstupní data cloud'!$F$72/DelkaProjektu)))))))</f>
        <v>0</v>
      </c>
      <c r="I134" s="356">
        <f>IF('3. Vstupní data cloud'!$D$85="ANO",0,IF('3. Vstupní data cloud'!$D$85="NE",IF(DelkaProjektu=1,0,IF(DelkaProjektu=2,0,IF(DelkaProjektu=3,0,IF(DelkaProjektu=4,0,IF(DelkaProjektu=5,'3. Vstupní data cloud'!$E$72*'3. Vstupní data cloud'!$F$72/DelkaProjektu)))))))</f>
        <v>0</v>
      </c>
      <c r="J134" s="374">
        <f t="shared" si="35"/>
        <v>0</v>
      </c>
      <c r="K134" s="382"/>
    </row>
    <row r="135" spans="2:11" x14ac:dyDescent="0.25">
      <c r="B135" s="352" t="s">
        <v>57</v>
      </c>
      <c r="C135" s="369" t="s">
        <v>115</v>
      </c>
      <c r="D135" s="354" t="s">
        <v>112</v>
      </c>
      <c r="E135" s="355">
        <f>IF('3. Vstupní data cloud'!$D$85="ANO",('3. Vstupní data cloud'!$E$74*'3. Vstupní data cloud'!$F$74+'3. Vstupní data cloud'!$E$73*'3. Vstupní data cloud'!$F$73),IF('3. Vstupní data cloud'!$D$85="NE",IF(DelkaProjektu=1,('3. Vstupní data cloud'!$E$74*'3. Vstupní data cloud'!$F$74+'3. Vstupní data cloud'!$E$73*'3. Vstupní data cloud'!$F$73)/DelkaProjektu,IF(DelkaProjektu=2,('3. Vstupní data cloud'!$E$74*'3. Vstupní data cloud'!$F$74+'3. Vstupní data cloud'!$E$73*'3. Vstupní data cloud'!$F$73)/DelkaProjektu,IF(DelkaProjektu=3,('3. Vstupní data cloud'!$E$74*'3. Vstupní data cloud'!$F$74+'3. Vstupní data cloud'!$E$73*'3. Vstupní data cloud'!$F$73)/DelkaProjektu,IF(DelkaProjektu=4,('3. Vstupní data cloud'!$E$74*'3. Vstupní data cloud'!$F$74+'3. Vstupní data cloud'!$E$73*'3. Vstupní data cloud'!$F$73)/DelkaProjektu,IF(DelkaProjektu=5,('3. Vstupní data cloud'!$E$74*'3. Vstupní data cloud'!$F$74+'3. Vstupní data cloud'!$E$73*'3. Vstupní data cloud'!$F$73)/DelkaProjektu)))))))</f>
        <v>0</v>
      </c>
      <c r="F135" s="356">
        <f>IF('3. Vstupní data cloud'!$D$85="ANO",0,IF('3. Vstupní data cloud'!$D$85="NE",IF(DelkaProjektu=1,0,IF(DelkaProjektu=2,('3. Vstupní data cloud'!$E$74*'3. Vstupní data cloud'!$F$74+'3. Vstupní data cloud'!$E$73*'3. Vstupní data cloud'!$F$73)/DelkaProjektu,IF(DelkaProjektu=3,('3. Vstupní data cloud'!$E$74*'3. Vstupní data cloud'!$F$74+'3. Vstupní data cloud'!$E$73*'3. Vstupní data cloud'!$F$73)/DelkaProjektu,IF(DelkaProjektu=4,('3. Vstupní data cloud'!$E$74*'3. Vstupní data cloud'!$F$74+'3. Vstupní data cloud'!$E$73*'3. Vstupní data cloud'!$F$73)/DelkaProjektu,IF(DelkaProjektu=5,('3. Vstupní data cloud'!$E$74*'3. Vstupní data cloud'!$F$74+'3. Vstupní data cloud'!$E$73*'3. Vstupní data cloud'!$F$73)/DelkaProjektu)))))))</f>
        <v>0</v>
      </c>
      <c r="G135" s="356">
        <f>IF('3. Vstupní data cloud'!$D$85="ANO",0,IF('3. Vstupní data cloud'!$D$85="NE",IF(DelkaProjektu=1,0,IF(DelkaProjektu=2,0,IF(DelkaProjektu=3,('3. Vstupní data cloud'!$E$74*'3. Vstupní data cloud'!$F$74+'3. Vstupní data cloud'!$E$73*'3. Vstupní data cloud'!$F$73)/DelkaProjektu,IF(DelkaProjektu=4,('3. Vstupní data cloud'!$E$74*'3. Vstupní data cloud'!$F$74+'3. Vstupní data cloud'!$E$73*'3. Vstupní data cloud'!$F$73)/DelkaProjektu,IF(DelkaProjektu=5,('3. Vstupní data cloud'!$E$74*'3. Vstupní data cloud'!$F$74+'3. Vstupní data cloud'!$E$73*'3. Vstupní data cloud'!$F$73)/DelkaProjektu)))))))</f>
        <v>0</v>
      </c>
      <c r="H135" s="356">
        <f>IF('3. Vstupní data cloud'!$D$85="ANO",0,IF('3. Vstupní data cloud'!$D$85="NE",IF(DelkaProjektu=1,0,IF(DelkaProjektu=2,0,IF(DelkaProjektu=3,0,IF(DelkaProjektu=4,('3. Vstupní data cloud'!$E$74*'3. Vstupní data cloud'!$F$74+'3. Vstupní data cloud'!$E$73*'3. Vstupní data cloud'!$F$73)/DelkaProjektu,IF(DelkaProjektu=5,('3. Vstupní data cloud'!$E$74*'3. Vstupní data cloud'!$F$74+'3. Vstupní data cloud'!$E$73*'3. Vstupní data cloud'!$F$73)/DelkaProjektu)))))))</f>
        <v>0</v>
      </c>
      <c r="I135" s="356">
        <f>IF('3. Vstupní data cloud'!$D$85="ANO",0,IF('3. Vstupní data cloud'!$D$85="NE",IF(DelkaProjektu=1,0,IF(DelkaProjektu=2,0,IF(DelkaProjektu=3,0,IF(DelkaProjektu=4,0,IF(DelkaProjektu=5,('3. Vstupní data cloud'!$E$74*'3. Vstupní data cloud'!$F$74+'3. Vstupní data cloud'!$E$73*'3. Vstupní data cloud'!$F$73)/DelkaProjektu)))))))</f>
        <v>0</v>
      </c>
      <c r="J135" s="374">
        <f t="shared" si="35"/>
        <v>0</v>
      </c>
      <c r="K135" s="382"/>
    </row>
    <row r="136" spans="2:11" x14ac:dyDescent="0.25">
      <c r="B136" s="352" t="s">
        <v>58</v>
      </c>
      <c r="C136" s="369" t="s">
        <v>59</v>
      </c>
      <c r="D136" s="354" t="s">
        <v>112</v>
      </c>
      <c r="E136" s="355">
        <f>IF('3. Vstupní data cloud'!$D$85="ANO",'3. Vstupní data cloud'!$E$75*'3. Vstupní data cloud'!$F$75,IF('3. Vstupní data cloud'!$D$85="NE",IF(DelkaProjektu=1,'3. Vstupní data cloud'!$E$75*'3. Vstupní data cloud'!$F$75/DelkaProjektu,IF(DelkaProjektu=2,'3. Vstupní data cloud'!$E$75*'3. Vstupní data cloud'!$F$75/DelkaProjektu,IF(DelkaProjektu=3,'3. Vstupní data cloud'!$E$75*'3. Vstupní data cloud'!$F$75/DelkaProjektu,IF(DelkaProjektu=4,'3. Vstupní data cloud'!$E$75*'3. Vstupní data cloud'!$F$75/DelkaProjektu,IF(DelkaProjektu=5,'3. Vstupní data cloud'!$E$75*'3. Vstupní data cloud'!$F$75/DelkaProjektu)))))))</f>
        <v>0</v>
      </c>
      <c r="F136" s="356">
        <f>IF('3. Vstupní data cloud'!$D$85="ANO",0,IF('3. Vstupní data cloud'!$D$85="NE",IF(DelkaProjektu=1,0,IF(DelkaProjektu=2,'3. Vstupní data cloud'!$E$75*'3. Vstupní data cloud'!$F$75/DelkaProjektu,IF(DelkaProjektu=3,'3. Vstupní data cloud'!$E$75*'3. Vstupní data cloud'!$F$75/DelkaProjektu,IF(DelkaProjektu=4,'3. Vstupní data cloud'!$E$75*'3. Vstupní data cloud'!$F$75/DelkaProjektu,IF(DelkaProjektu=5,'3. Vstupní data cloud'!$E$75*'3. Vstupní data cloud'!$F$75/DelkaProjektu)))))))</f>
        <v>0</v>
      </c>
      <c r="G136" s="356">
        <f>IF('3. Vstupní data cloud'!$D$85="ANO",0,IF('3. Vstupní data cloud'!$D$85="NE",IF(DelkaProjektu=1,0,IF(DelkaProjektu=2,0,IF(DelkaProjektu=3,'3. Vstupní data cloud'!$E$75*'3. Vstupní data cloud'!$F$75/DelkaProjektu,IF(DelkaProjektu=4,'3. Vstupní data cloud'!$E$75*'3. Vstupní data cloud'!$F$75/DelkaProjektu,IF(DelkaProjektu=5,'3. Vstupní data cloud'!$E$75*'3. Vstupní data cloud'!$F$75/DelkaProjektu)))))))</f>
        <v>0</v>
      </c>
      <c r="H136" s="356">
        <f>IF('3. Vstupní data cloud'!$D$85="ANO",0,IF('3. Vstupní data cloud'!$D$85="NE",IF(DelkaProjektu=1,0,IF(DelkaProjektu=2,0,IF(DelkaProjektu=3,0,IF(DelkaProjektu=4,'3. Vstupní data cloud'!$E$75*'3. Vstupní data cloud'!$F$75/DelkaProjektu,IF(DelkaProjektu=5,'3. Vstupní data cloud'!$E$75*'3. Vstupní data cloud'!$F$75/DelkaProjektu)))))))</f>
        <v>0</v>
      </c>
      <c r="I136" s="356">
        <f>IF('3. Vstupní data cloud'!$D$85="ANO",0,IF('3. Vstupní data cloud'!$D$85="NE",IF(DelkaProjektu=1,0,IF(DelkaProjektu=2,0,IF(DelkaProjektu=3,0,IF(DelkaProjektu=4,0,IF(DelkaProjektu=5,'3. Vstupní data cloud'!$E$75*'3. Vstupní data cloud'!$F$75/DelkaProjektu)))))))</f>
        <v>0</v>
      </c>
      <c r="J136" s="374">
        <f t="shared" si="35"/>
        <v>0</v>
      </c>
      <c r="K136" s="382"/>
    </row>
    <row r="137" spans="2:11" x14ac:dyDescent="0.25">
      <c r="B137" s="352" t="s">
        <v>61</v>
      </c>
      <c r="C137" s="369" t="s">
        <v>60</v>
      </c>
      <c r="D137" s="354" t="s">
        <v>112</v>
      </c>
      <c r="E137" s="355">
        <f>IF('3. Vstupní data cloud'!$D$85="ANO",'3. Vstupní data cloud'!$E$76*'3. Vstupní data cloud'!$F$76,IF('3. Vstupní data cloud'!$D$85="NE",IF(DelkaProjektu=1,'3. Vstupní data cloud'!$E$76*'3. Vstupní data cloud'!$F$76/DelkaProjektu,IF(DelkaProjektu=2,'3. Vstupní data cloud'!$E$76*'3. Vstupní data cloud'!$F$76/DelkaProjektu,IF(DelkaProjektu=3,'3. Vstupní data cloud'!$E$76*'3. Vstupní data cloud'!$F$76/DelkaProjektu,IF(DelkaProjektu=4,'3. Vstupní data cloud'!$E$76*'3. Vstupní data cloud'!$F$76/DelkaProjektu,IF(DelkaProjektu=5,'3. Vstupní data cloud'!$E$76*'3. Vstupní data cloud'!$F$76/DelkaProjektu)))))))</f>
        <v>0</v>
      </c>
      <c r="F137" s="356">
        <f>IF('3. Vstupní data cloud'!$D$85="ANO",0,IF('3. Vstupní data cloud'!$D$85="NE",IF(DelkaProjektu=1,0,IF(DelkaProjektu=2,'3. Vstupní data cloud'!$E$76*'3. Vstupní data cloud'!$F$76/DelkaProjektu,IF(DelkaProjektu=3,'3. Vstupní data cloud'!$E$76*'3. Vstupní data cloud'!$F$76/DelkaProjektu,IF(DelkaProjektu=4,'3. Vstupní data cloud'!$E$76*'3. Vstupní data cloud'!$F$76/DelkaProjektu,IF(DelkaProjektu=5,'3. Vstupní data cloud'!$E$76*'3. Vstupní data cloud'!$F$76/DelkaProjektu)))))))</f>
        <v>0</v>
      </c>
      <c r="G137" s="356">
        <f>IF('3. Vstupní data cloud'!$D$85="ANO",0,IF('3. Vstupní data cloud'!$D$85="NE",IF(DelkaProjektu=1,0,IF(DelkaProjektu=2,0,IF(DelkaProjektu=3,'3. Vstupní data cloud'!$E$76*'3. Vstupní data cloud'!$F$76/DelkaProjektu,IF(DelkaProjektu=4,'3. Vstupní data cloud'!$E$76*'3. Vstupní data cloud'!$F$76/DelkaProjektu,IF(DelkaProjektu=5,'3. Vstupní data cloud'!$E$76*'3. Vstupní data cloud'!$F$76/DelkaProjektu)))))))</f>
        <v>0</v>
      </c>
      <c r="H137" s="356">
        <f>IF('3. Vstupní data cloud'!$D$85="ANO",0,IF('3. Vstupní data cloud'!$D$85="NE",IF(DelkaProjektu=1,0,IF(DelkaProjektu=2,0,IF(DelkaProjektu=3,0,IF(DelkaProjektu=4,'3. Vstupní data cloud'!$E$76*'3. Vstupní data cloud'!$F$76/DelkaProjektu,IF(DelkaProjektu=5,'3. Vstupní data cloud'!$E$76*'3. Vstupní data cloud'!$F$76/DelkaProjektu)))))))</f>
        <v>0</v>
      </c>
      <c r="I137" s="356">
        <f>IF('3. Vstupní data cloud'!$D$85="ANO",0,IF('3. Vstupní data cloud'!$D$85="NE",IF(DelkaProjektu=1,0,IF(DelkaProjektu=2,0,IF(DelkaProjektu=3,0,IF(DelkaProjektu=4,0,IF(DelkaProjektu=5,'3. Vstupní data cloud'!$E$76*'3. Vstupní data cloud'!$F$76/DelkaProjektu)))))))</f>
        <v>0</v>
      </c>
      <c r="J137" s="374">
        <f t="shared" si="35"/>
        <v>0</v>
      </c>
      <c r="K137" s="382"/>
    </row>
    <row r="138" spans="2:11" x14ac:dyDescent="0.25">
      <c r="B138" s="352" t="s">
        <v>62</v>
      </c>
      <c r="C138" s="369" t="s">
        <v>63</v>
      </c>
      <c r="D138" s="354" t="s">
        <v>112</v>
      </c>
      <c r="E138" s="355">
        <f>IF('3. Vstupní data cloud'!$D$85="ANO",'3. Vstupní data cloud'!$E$77*'3. Vstupní data cloud'!$F$77,IF('3. Vstupní data cloud'!$D$85="NE",IF(DelkaProjektu=1,'3. Vstupní data cloud'!$E$77*'3. Vstupní data cloud'!$F$77/DelkaProjektu,IF(DelkaProjektu=2,'3. Vstupní data cloud'!$E$77*'3. Vstupní data cloud'!$F$77/DelkaProjektu,IF(DelkaProjektu=3,'3. Vstupní data cloud'!$E$77*'3. Vstupní data cloud'!$F$77/DelkaProjektu,IF(DelkaProjektu=4,'3. Vstupní data cloud'!$E$77*'3. Vstupní data cloud'!$F$77/DelkaProjektu,IF(DelkaProjektu=5,'3. Vstupní data cloud'!$E$77*'3. Vstupní data cloud'!$F$77/DelkaProjektu)))))))</f>
        <v>0</v>
      </c>
      <c r="F138" s="356">
        <f>IF('3. Vstupní data cloud'!$D$85="ANO",0,IF('3. Vstupní data cloud'!$D$85="NE",IF(DelkaProjektu=1,0,IF(DelkaProjektu=2,'3. Vstupní data cloud'!$E$77*'3. Vstupní data cloud'!$F$77/DelkaProjektu,IF(DelkaProjektu=3,'3. Vstupní data cloud'!$E$77*'3. Vstupní data cloud'!$F$77/DelkaProjektu,IF(DelkaProjektu=4,'3. Vstupní data cloud'!$E$77*'3. Vstupní data cloud'!$F$77/DelkaProjektu,IF(DelkaProjektu=5,'3. Vstupní data cloud'!$E$77*'3. Vstupní data cloud'!$F$77/DelkaProjektu)))))))</f>
        <v>0</v>
      </c>
      <c r="G138" s="356">
        <f>IF('3. Vstupní data cloud'!$D$85="ANO",0,IF('3. Vstupní data cloud'!$D$85="NE",IF(DelkaProjektu=1,0,IF(DelkaProjektu=2,0,IF(DelkaProjektu=3,'3. Vstupní data cloud'!$E$77*'3. Vstupní data cloud'!$F$77/DelkaProjektu,IF(DelkaProjektu=4,'3. Vstupní data cloud'!$E$77*'3. Vstupní data cloud'!$F$77/DelkaProjektu,IF(DelkaProjektu=5,'3. Vstupní data cloud'!$E$77*'3. Vstupní data cloud'!$F$77/DelkaProjektu)))))))</f>
        <v>0</v>
      </c>
      <c r="H138" s="356">
        <f>IF('3. Vstupní data cloud'!$D$85="ANO",0,IF('3. Vstupní data cloud'!$D$85="NE",IF(DelkaProjektu=1,0,IF(DelkaProjektu=2,0,IF(DelkaProjektu=3,0,IF(DelkaProjektu=4,'3. Vstupní data cloud'!$E$77*'3. Vstupní data cloud'!$F$77/DelkaProjektu,IF(DelkaProjektu=5,'3. Vstupní data cloud'!$E$77*'3. Vstupní data cloud'!$F$77/DelkaProjektu)))))))</f>
        <v>0</v>
      </c>
      <c r="I138" s="356">
        <f>IF('3. Vstupní data cloud'!$D$85="ANO",0,IF('3. Vstupní data cloud'!$D$85="NE",IF(DelkaProjektu=1,0,IF(DelkaProjektu=2,0,IF(DelkaProjektu=3,0,IF(DelkaProjektu=4,0,IF(DelkaProjektu=5,'3. Vstupní data cloud'!$E$77*'3. Vstupní data cloud'!$F$77/DelkaProjektu)))))))</f>
        <v>0</v>
      </c>
      <c r="J138" s="374">
        <f t="shared" si="35"/>
        <v>0</v>
      </c>
      <c r="K138" s="382"/>
    </row>
    <row r="139" spans="2:11" x14ac:dyDescent="0.25">
      <c r="B139" s="352" t="s">
        <v>64</v>
      </c>
      <c r="C139" s="369" t="s">
        <v>65</v>
      </c>
      <c r="D139" s="354" t="s">
        <v>112</v>
      </c>
      <c r="E139" s="355">
        <f>IF('3. Vstupní data cloud'!$D$85="ANO",'3. Vstupní data cloud'!$E$78*'3. Vstupní data cloud'!$F$78,IF('3. Vstupní data cloud'!$D$85="NE",IF(DelkaProjektu=1,'3. Vstupní data cloud'!$E$78*'3. Vstupní data cloud'!$F$78/DelkaProjektu,IF(DelkaProjektu=2,'3. Vstupní data cloud'!$E$78*'3. Vstupní data cloud'!$F$78/DelkaProjektu,IF(DelkaProjektu=3,'3. Vstupní data cloud'!$E$78*'3. Vstupní data cloud'!$F$78/DelkaProjektu,IF(DelkaProjektu=4,'3. Vstupní data cloud'!$E$78*'3. Vstupní data cloud'!$F$78/DelkaProjektu,IF(DelkaProjektu=5,'3. Vstupní data cloud'!$E$78*'3. Vstupní data cloud'!$F$78/DelkaProjektu)))))))</f>
        <v>0</v>
      </c>
      <c r="F139" s="356">
        <f>IF('3. Vstupní data cloud'!$D$85="ANO",0,IF('3. Vstupní data cloud'!$D$85="NE",IF(DelkaProjektu=1,0,IF(DelkaProjektu=2,'3. Vstupní data cloud'!$E$78*'3. Vstupní data cloud'!$F$78/DelkaProjektu,IF(DelkaProjektu=3,'3. Vstupní data cloud'!$E$78*'3. Vstupní data cloud'!$F$78/DelkaProjektu,IF(DelkaProjektu=4,'3. Vstupní data cloud'!$E$78*'3. Vstupní data cloud'!$F$78/DelkaProjektu,IF(DelkaProjektu=5,'3. Vstupní data cloud'!$E$78*'3. Vstupní data cloud'!$F$78/DelkaProjektu)))))))</f>
        <v>0</v>
      </c>
      <c r="G139" s="356">
        <f>IF('3. Vstupní data cloud'!$D$85="ANO",0,IF('3. Vstupní data cloud'!$D$85="NE",IF(DelkaProjektu=1,0,IF(DelkaProjektu=2,0,IF(DelkaProjektu=3,'3. Vstupní data cloud'!$E$78*'3. Vstupní data cloud'!$F$78/DelkaProjektu,IF(DelkaProjektu=4,'3. Vstupní data cloud'!$E$78*'3. Vstupní data cloud'!$F$78/DelkaProjektu,IF(DelkaProjektu=5,'3. Vstupní data cloud'!$E$78*'3. Vstupní data cloud'!$F$78/DelkaProjektu)))))))</f>
        <v>0</v>
      </c>
      <c r="H139" s="356">
        <f>IF('3. Vstupní data cloud'!$D$85="ANO",0,IF('3. Vstupní data cloud'!$D$85="NE",IF(DelkaProjektu=1,0,IF(DelkaProjektu=2,0,IF(DelkaProjektu=3,0,IF(DelkaProjektu=4,'3. Vstupní data cloud'!$E$78*'3. Vstupní data cloud'!$F$78/DelkaProjektu,IF(DelkaProjektu=5,'3. Vstupní data cloud'!$E$78*'3. Vstupní data cloud'!$F$78/DelkaProjektu)))))))</f>
        <v>0</v>
      </c>
      <c r="I139" s="356">
        <f>IF('3. Vstupní data cloud'!$D$85="ANO",0,IF('3. Vstupní data cloud'!$D$85="NE",IF(DelkaProjektu=1,0,IF(DelkaProjektu=2,0,IF(DelkaProjektu=3,0,IF(DelkaProjektu=4,0,IF(DelkaProjektu=5,'3. Vstupní data cloud'!$E$78*'3. Vstupní data cloud'!$F$78/DelkaProjektu)))))))</f>
        <v>0</v>
      </c>
      <c r="J139" s="374">
        <f t="shared" si="35"/>
        <v>0</v>
      </c>
      <c r="K139" s="382"/>
    </row>
    <row r="140" spans="2:11" x14ac:dyDescent="0.25">
      <c r="B140" s="352" t="s">
        <v>66</v>
      </c>
      <c r="C140" s="369" t="s">
        <v>67</v>
      </c>
      <c r="D140" s="354" t="s">
        <v>112</v>
      </c>
      <c r="E140" s="355">
        <f>IF('3. Vstupní data cloud'!$D$85="ANO",'3. Vstupní data cloud'!$E$79*'3. Vstupní data cloud'!$F$79,IF('3. Vstupní data cloud'!$D$85="NE",IF(DelkaProjektu=1,'3. Vstupní data cloud'!$E$79*'3. Vstupní data cloud'!$F$79/DelkaProjektu,IF(DelkaProjektu=2,'3. Vstupní data cloud'!$E$79*'3. Vstupní data cloud'!$F$79/DelkaProjektu,IF(DelkaProjektu=3,'3. Vstupní data cloud'!$E$79*'3. Vstupní data cloud'!$F$79/DelkaProjektu,IF(DelkaProjektu=4,'3. Vstupní data cloud'!$E$79*'3. Vstupní data cloud'!$F$79/DelkaProjektu,IF(DelkaProjektu=5,'3. Vstupní data cloud'!$E$79*'3. Vstupní data cloud'!$F$79/DelkaProjektu)))))))</f>
        <v>0</v>
      </c>
      <c r="F140" s="356">
        <f>IF('3. Vstupní data cloud'!$D$85="ANO",0,IF('3. Vstupní data cloud'!$D$85="NE",IF(DelkaProjektu=1,0,IF(DelkaProjektu=2,'3. Vstupní data cloud'!$E$79*'3. Vstupní data cloud'!$F$79/DelkaProjektu,IF(DelkaProjektu=3,'3. Vstupní data cloud'!$E$79*'3. Vstupní data cloud'!$F$79/DelkaProjektu,IF(DelkaProjektu=4,'3. Vstupní data cloud'!$E$79*'3. Vstupní data cloud'!$F$79/DelkaProjektu,IF(DelkaProjektu=5,'3. Vstupní data cloud'!$E$79*'3. Vstupní data cloud'!$F$79/DelkaProjektu)))))))</f>
        <v>0</v>
      </c>
      <c r="G140" s="356">
        <f>IF('3. Vstupní data cloud'!$D$85="ANO",0,IF('3. Vstupní data cloud'!$D$85="NE",IF(DelkaProjektu=1,0,IF(DelkaProjektu=2,0,IF(DelkaProjektu=3,'3. Vstupní data cloud'!$E$79*'3. Vstupní data cloud'!$F$79/DelkaProjektu,IF(DelkaProjektu=4,'3. Vstupní data cloud'!$E$79*'3. Vstupní data cloud'!$F$79/DelkaProjektu,IF(DelkaProjektu=5,'3. Vstupní data cloud'!$E$79*'3. Vstupní data cloud'!$F$79/DelkaProjektu)))))))</f>
        <v>0</v>
      </c>
      <c r="H140" s="356">
        <f>IF('3. Vstupní data cloud'!$D$85="ANO",0,IF('3. Vstupní data cloud'!$D$85="NE",IF(DelkaProjektu=1,0,IF(DelkaProjektu=2,0,IF(DelkaProjektu=3,0,IF(DelkaProjektu=4,'3. Vstupní data cloud'!$E$79*'3. Vstupní data cloud'!$F$79/DelkaProjektu,IF(DelkaProjektu=5,'3. Vstupní data cloud'!$E$79*'3. Vstupní data cloud'!$F$79/DelkaProjektu)))))))</f>
        <v>0</v>
      </c>
      <c r="I140" s="356">
        <f>IF('3. Vstupní data cloud'!$D$85="ANO",0,IF('3. Vstupní data cloud'!$D$85="NE",IF(DelkaProjektu=1,0,IF(DelkaProjektu=2,0,IF(DelkaProjektu=3,0,IF(DelkaProjektu=4,0,IF(DelkaProjektu=5,'3. Vstupní data cloud'!$E$79*'3. Vstupní data cloud'!$F$79/DelkaProjektu)))))))</f>
        <v>0</v>
      </c>
      <c r="J140" s="374">
        <f t="shared" si="35"/>
        <v>0</v>
      </c>
      <c r="K140" s="382"/>
    </row>
    <row r="141" spans="2:11" x14ac:dyDescent="0.25">
      <c r="B141" s="352" t="s">
        <v>68</v>
      </c>
      <c r="C141" s="369" t="s">
        <v>69</v>
      </c>
      <c r="D141" s="354" t="s">
        <v>112</v>
      </c>
      <c r="E141" s="355">
        <f>IF('3. Vstupní data cloud'!$D$85="ANO",'3. Vstupní data cloud'!$E$80*'3. Vstupní data cloud'!$F$80,IF('3. Vstupní data cloud'!$D$85="NE",IF(DelkaProjektu=1,'3. Vstupní data cloud'!$E$80*'3. Vstupní data cloud'!$F$80/DelkaProjektu,IF(DelkaProjektu=2,'3. Vstupní data cloud'!$E$80*'3. Vstupní data cloud'!$F$80/DelkaProjektu,IF(DelkaProjektu=3,'3. Vstupní data cloud'!$E$80*'3. Vstupní data cloud'!$F$80/DelkaProjektu,IF(DelkaProjektu=4,'3. Vstupní data cloud'!$E$80*'3. Vstupní data cloud'!$F$80/DelkaProjektu,IF(DelkaProjektu=5,'3. Vstupní data cloud'!$E$80*'3. Vstupní data cloud'!$F$80/DelkaProjektu)))))))</f>
        <v>0</v>
      </c>
      <c r="F141" s="356">
        <f>IF('3. Vstupní data cloud'!$D$85="ANO",0,IF('3. Vstupní data cloud'!$D$85="NE",IF(DelkaProjektu=1,0,IF(DelkaProjektu=2,'3. Vstupní data cloud'!$E$80*'3. Vstupní data cloud'!$F$80/DelkaProjektu,IF(DelkaProjektu=3,'3. Vstupní data cloud'!$E$80*'3. Vstupní data cloud'!$F$80/DelkaProjektu,IF(DelkaProjektu=4,'3. Vstupní data cloud'!$E$80*'3. Vstupní data cloud'!$F$80/DelkaProjektu,IF(DelkaProjektu=5,'3. Vstupní data cloud'!$E$80*'3. Vstupní data cloud'!$F$80/DelkaProjektu)))))))</f>
        <v>0</v>
      </c>
      <c r="G141" s="356">
        <f>IF('3. Vstupní data cloud'!$D$85="ANO",0,IF('3. Vstupní data cloud'!$D$85="NE",IF(DelkaProjektu=1,0,IF(DelkaProjektu=2,0,IF(DelkaProjektu=3,'3. Vstupní data cloud'!$E$80*'3. Vstupní data cloud'!$F$80/DelkaProjektu,IF(DelkaProjektu=4,'3. Vstupní data cloud'!$E$80*'3. Vstupní data cloud'!$F$80/DelkaProjektu,IF(DelkaProjektu=5,'3. Vstupní data cloud'!$E$80*'3. Vstupní data cloud'!$F$80/DelkaProjektu)))))))</f>
        <v>0</v>
      </c>
      <c r="H141" s="356">
        <f>IF('3. Vstupní data cloud'!$D$85="ANO",0,IF('3. Vstupní data cloud'!$D$85="NE",IF(DelkaProjektu=1,0,IF(DelkaProjektu=2,0,IF(DelkaProjektu=3,0,IF(DelkaProjektu=4,'3. Vstupní data cloud'!$E$80*'3. Vstupní data cloud'!$F$80/DelkaProjektu,IF(DelkaProjektu=5,'3. Vstupní data cloud'!$E$80*'3. Vstupní data cloud'!$F$80/DelkaProjektu)))))))</f>
        <v>0</v>
      </c>
      <c r="I141" s="356">
        <f>IF('3. Vstupní data cloud'!$D$85="ANO",0,IF('3. Vstupní data cloud'!$D$85="NE",IF(DelkaProjektu=1,0,IF(DelkaProjektu=2,0,IF(DelkaProjektu=3,0,IF(DelkaProjektu=4,0,IF(DelkaProjektu=5,'3. Vstupní data cloud'!$E$80*'3. Vstupní data cloud'!$F$80/DelkaProjektu)))))))</f>
        <v>0</v>
      </c>
      <c r="J141" s="374">
        <f t="shared" si="35"/>
        <v>0</v>
      </c>
      <c r="K141" s="382"/>
    </row>
    <row r="142" spans="2:11" x14ac:dyDescent="0.25">
      <c r="B142" s="352" t="s">
        <v>283</v>
      </c>
      <c r="C142" s="384" t="s">
        <v>258</v>
      </c>
      <c r="D142" s="354" t="s">
        <v>112</v>
      </c>
      <c r="E142" s="355">
        <f>IF('3. Vstupní data cloud'!$D$85="ANO",'3. Vstupní data cloud'!$E$81*'3. Vstupní data cloud'!$F$81,IF('3. Vstupní data cloud'!$D$85="NE",IF(DelkaProjektu=1,'3. Vstupní data cloud'!$E$81*'3. Vstupní data cloud'!$F$81/DelkaProjektu,IF(DelkaProjektu=2,'3. Vstupní data cloud'!$E$81*'3. Vstupní data cloud'!$F$81/DelkaProjektu,IF(DelkaProjektu=3,'3. Vstupní data cloud'!$E$81*'3. Vstupní data cloud'!$F$81/DelkaProjektu,IF(DelkaProjektu=4,'3. Vstupní data cloud'!$E$81*'3. Vstupní data cloud'!$F$81/DelkaProjektu,IF(DelkaProjektu=5,'3. Vstupní data cloud'!$E$81*'3. Vstupní data cloud'!$F$81/DelkaProjektu)))))))</f>
        <v>0</v>
      </c>
      <c r="F142" s="356">
        <f>IF('3. Vstupní data cloud'!$D$85="ANO",0,IF('3. Vstupní data cloud'!$D$85="NE",IF(DelkaProjektu=1,0,IF(DelkaProjektu=2,'3. Vstupní data cloud'!$E$81*'3. Vstupní data cloud'!$F$81/DelkaProjektu,IF(DelkaProjektu=3,'3. Vstupní data cloud'!$E$81*'3. Vstupní data cloud'!$F$81/DelkaProjektu,IF(DelkaProjektu=4,'3. Vstupní data cloud'!$E$81*'3. Vstupní data cloud'!$F$81/DelkaProjektu,IF(DelkaProjektu=5,'3. Vstupní data cloud'!$E$81*'3. Vstupní data cloud'!$F$81/DelkaProjektu)))))))</f>
        <v>0</v>
      </c>
      <c r="G142" s="356">
        <f>IF('3. Vstupní data cloud'!$D$85="ANO",0,IF('3. Vstupní data cloud'!$D$85="NE",IF(DelkaProjektu=1,0,IF(DelkaProjektu=2,0,IF(DelkaProjektu=3,'3. Vstupní data cloud'!$E$81*'3. Vstupní data cloud'!$F$81/DelkaProjektu,IF(DelkaProjektu=4,'3. Vstupní data cloud'!$E$81*'3. Vstupní data cloud'!$F$81/DelkaProjektu,IF(DelkaProjektu=5,'3. Vstupní data cloud'!$E$81*'3. Vstupní data cloud'!$F$81/DelkaProjektu)))))))</f>
        <v>0</v>
      </c>
      <c r="H142" s="356">
        <f>IF('3. Vstupní data cloud'!$D$85="ANO",0,IF('3. Vstupní data cloud'!$D$85="NE",IF(DelkaProjektu=1,0,IF(DelkaProjektu=2,0,IF(DelkaProjektu=3,0,IF(DelkaProjektu=4,'3. Vstupní data cloud'!$E$81*'3. Vstupní data cloud'!$F$81/DelkaProjektu,IF(DelkaProjektu=5,'3. Vstupní data cloud'!$E$81*'3. Vstupní data cloud'!$F$81/DelkaProjektu)))))))</f>
        <v>0</v>
      </c>
      <c r="I142" s="356">
        <f>IF('3. Vstupní data cloud'!$D$85="ANO",0,IF('3. Vstupní data cloud'!$D$85="NE",IF(DelkaProjektu=1,0,IF(DelkaProjektu=2,0,IF(DelkaProjektu=3,0,IF(DelkaProjektu=4,0,IF(DelkaProjektu=5,'3. Vstupní data cloud'!$E$81*'3. Vstupní data cloud'!$F$81/DelkaProjektu)))))))</f>
        <v>0</v>
      </c>
      <c r="J142" s="374">
        <f t="shared" si="35"/>
        <v>0</v>
      </c>
      <c r="K142" s="382"/>
    </row>
    <row r="143" spans="2:11" x14ac:dyDescent="0.25">
      <c r="B143" s="352" t="s">
        <v>284</v>
      </c>
      <c r="C143" s="384" t="s">
        <v>377</v>
      </c>
      <c r="D143" s="354" t="s">
        <v>112</v>
      </c>
      <c r="E143" s="355">
        <f>IF('3. Vstupní data cloud'!$D$85="ANO",'3. Vstupní data cloud'!$F$82,IF('3. Vstupní data cloud'!$D$85="NE",IF(DelkaProjektu=1,'3. Vstupní data cloud'!$F$82/DelkaProjektu,IF(DelkaProjektu=2,'3. Vstupní data cloud'!$F$82/DelkaProjektu,IF(DelkaProjektu=3,'3. Vstupní data cloud'!$F$82/DelkaProjektu,IF(DelkaProjektu=4,'3. Vstupní data cloud'!$F$82/DelkaProjektu,IF(DelkaProjektu=5,'3. Vstupní data cloud'!$F$82/DelkaProjektu)))))))</f>
        <v>0</v>
      </c>
      <c r="F143" s="356">
        <f>IF('3. Vstupní data cloud'!$D$85="ANO",0,IF('3. Vstupní data cloud'!$D$85="NE",IF(DelkaProjektu=1,0,IF(DelkaProjektu=2,'3. Vstupní data cloud'!$F$82/DelkaProjektu,IF(DelkaProjektu=3,'3. Vstupní data cloud'!$F$82/DelkaProjektu,IF(DelkaProjektu=4,'3. Vstupní data cloud'!$F$82/DelkaProjektu,IF(DelkaProjektu=5,'3. Vstupní data cloud'!$F$82/DelkaProjektu)))))))</f>
        <v>0</v>
      </c>
      <c r="G143" s="356">
        <f>IF('3. Vstupní data cloud'!$D$85="ANO",0,IF('3. Vstupní data cloud'!$D$85="NE",IF(DelkaProjektu=1,0,IF(DelkaProjektu=2,0,IF(DelkaProjektu=3,'3. Vstupní data cloud'!$F$82/DelkaProjektu,IF(DelkaProjektu=4,'3. Vstupní data cloud'!$F$82/DelkaProjektu,IF(DelkaProjektu=5,'3. Vstupní data cloud'!$F$82/DelkaProjektu)))))))</f>
        <v>0</v>
      </c>
      <c r="H143" s="356">
        <f>IF('3. Vstupní data cloud'!$D$85="ANO",0,IF('3. Vstupní data cloud'!$D$85="NE",IF(DelkaProjektu=1,0,IF(DelkaProjektu=2,0,IF(DelkaProjektu=3,0,IF(DelkaProjektu=4,'3. Vstupní data cloud'!$F$82/DelkaProjektu,IF(DelkaProjektu=5,'3. Vstupní data cloud'!$F$82/DelkaProjektu)))))))</f>
        <v>0</v>
      </c>
      <c r="I143" s="356">
        <f>IF('3. Vstupní data cloud'!$D$85="ANO",0,IF('3. Vstupní data cloud'!$D$85="NE",IF(DelkaProjektu=1,0,IF(DelkaProjektu=2,0,IF(DelkaProjektu=3,0,IF(DelkaProjektu=4,0,IF(DelkaProjektu=5,'3. Vstupní data cloud'!$F$82/DelkaProjektu)))))))</f>
        <v>0</v>
      </c>
      <c r="J143" s="374">
        <f t="shared" si="35"/>
        <v>0</v>
      </c>
      <c r="K143" s="382"/>
    </row>
    <row r="144" spans="2:11" x14ac:dyDescent="0.25">
      <c r="B144" s="371" t="s">
        <v>70</v>
      </c>
      <c r="C144" s="372" t="s">
        <v>71</v>
      </c>
      <c r="D144" s="372" t="s">
        <v>112</v>
      </c>
      <c r="E144" s="373">
        <f>E145+E146+E147</f>
        <v>0</v>
      </c>
      <c r="F144" s="373">
        <f t="shared" ref="F144:I144" si="36">F145+F146+F147</f>
        <v>0</v>
      </c>
      <c r="G144" s="373">
        <f t="shared" si="36"/>
        <v>0</v>
      </c>
      <c r="H144" s="373">
        <f t="shared" si="36"/>
        <v>0</v>
      </c>
      <c r="I144" s="373">
        <f t="shared" si="36"/>
        <v>0</v>
      </c>
      <c r="J144" s="373">
        <f>SUM(E144:I144)</f>
        <v>0</v>
      </c>
      <c r="K144" s="382"/>
    </row>
    <row r="145" spans="2:11" x14ac:dyDescent="0.25">
      <c r="B145" s="352" t="s">
        <v>72</v>
      </c>
      <c r="C145" s="369" t="s">
        <v>73</v>
      </c>
      <c r="D145" s="354" t="s">
        <v>112</v>
      </c>
      <c r="E145" s="355">
        <f>IF(DelkaProjektu&gt;=1,'3. Vstupní data cloud'!$E14*'3. Vstupní data cloud'!$F14+'3. Vstupní data cloud'!$E15*'3. Vstupní data cloud'!$F15+'3. Vstupní data cloud'!$E16*'3. Vstupní data cloud'!$F16+'3. Vstupní data cloud'!$F17+'3. Vstupní data cloud'!$E27*'3. Vstupní data cloud'!$F27+'3. Vstupní data cloud'!$F29,0)</f>
        <v>0</v>
      </c>
      <c r="F145" s="355">
        <f>IF(DelkaProjektu&gt;=2,'3. Vstupní data cloud'!$E14*'3. Vstupní data cloud'!$F14+'3. Vstupní data cloud'!$E15*'3. Vstupní data cloud'!$F15+'3. Vstupní data cloud'!$E16*'3. Vstupní data cloud'!$F16+'3. Vstupní data cloud'!$F17+'3. Vstupní data cloud'!$E27*'3. Vstupní data cloud'!$F27+'3. Vstupní data cloud'!$F29,0)</f>
        <v>0</v>
      </c>
      <c r="G145" s="355">
        <f>IF(DelkaProjektu&gt;=3,'3. Vstupní data cloud'!$E14*'3. Vstupní data cloud'!$F14+'3. Vstupní data cloud'!$E15*'3. Vstupní data cloud'!$F15+'3. Vstupní data cloud'!$E16*'3. Vstupní data cloud'!$F16+'3. Vstupní data cloud'!$F17+'3. Vstupní data cloud'!$E27*'3. Vstupní data cloud'!$F27+'3. Vstupní data cloud'!$F29,0)</f>
        <v>0</v>
      </c>
      <c r="H145" s="355">
        <f>IF(DelkaProjektu&gt;=4,'3. Vstupní data cloud'!$E14*'3. Vstupní data cloud'!$F14+'3. Vstupní data cloud'!$E15*'3. Vstupní data cloud'!$F15+'3. Vstupní data cloud'!$E16*'3. Vstupní data cloud'!$F16+'3. Vstupní data cloud'!$F17+'3. Vstupní data cloud'!$E27*'3. Vstupní data cloud'!$F27+'3. Vstupní data cloud'!$F29,0)</f>
        <v>0</v>
      </c>
      <c r="I145" s="355">
        <f>IF(DelkaProjektu&gt;=5,'3. Vstupní data cloud'!$E14*'3. Vstupní data cloud'!$F14+'3. Vstupní data cloud'!$E15*'3. Vstupní data cloud'!$F15+'3. Vstupní data cloud'!$E16*'3. Vstupní data cloud'!$F16+'3. Vstupní data cloud'!$F17+'3. Vstupní data cloud'!$E27*'3. Vstupní data cloud'!$F27+'3. Vstupní data cloud'!$F29,0)</f>
        <v>0</v>
      </c>
      <c r="J145" s="355">
        <f>SUM(E145:I145)</f>
        <v>0</v>
      </c>
      <c r="K145" s="382"/>
    </row>
    <row r="146" spans="2:11" x14ac:dyDescent="0.25">
      <c r="B146" s="352" t="s">
        <v>86</v>
      </c>
      <c r="C146" s="369" t="s">
        <v>87</v>
      </c>
      <c r="D146" s="354" t="s">
        <v>112</v>
      </c>
      <c r="E146" s="355">
        <f>IF(DelkaProjektu&gt;=1,'3. Vstupní data cloud'!$E22*'3. Vstupní data cloud'!$F22+'3. Vstupní data cloud'!$E23*'3. Vstupní data cloud'!$F23+'3. Vstupní data cloud'!$E24*'3. Vstupní data cloud'!$F24+'3. Vstupní data cloud'!$E25*'3. Vstupní data cloud'!$F25+'3. Vstupní data cloud'!$E26*'3. Vstupní data cloud'!$F26,0)</f>
        <v>0</v>
      </c>
      <c r="F146" s="355">
        <f>IF(DelkaProjektu&gt;=2,'3. Vstupní data cloud'!$E22*'3. Vstupní data cloud'!$F22+'3. Vstupní data cloud'!$E23*'3. Vstupní data cloud'!$F23+'3. Vstupní data cloud'!$E24*'3. Vstupní data cloud'!$F24+'3. Vstupní data cloud'!$E25*'3. Vstupní data cloud'!$F25+'3. Vstupní data cloud'!$E26*'3. Vstupní data cloud'!$F26,0)</f>
        <v>0</v>
      </c>
      <c r="G146" s="355">
        <f>IF(DelkaProjektu&gt;=3,'3. Vstupní data cloud'!$E22*'3. Vstupní data cloud'!$F22+'3. Vstupní data cloud'!$E23*'3. Vstupní data cloud'!$F23+'3. Vstupní data cloud'!$E24*'3. Vstupní data cloud'!$F24+'3. Vstupní data cloud'!$E25*'3. Vstupní data cloud'!$F25+'3. Vstupní data cloud'!$E26*'3. Vstupní data cloud'!$F26,0)</f>
        <v>0</v>
      </c>
      <c r="H146" s="355">
        <f>IF(DelkaProjektu&gt;=4,'3. Vstupní data cloud'!$E22*'3. Vstupní data cloud'!$F22+'3. Vstupní data cloud'!$E23*'3. Vstupní data cloud'!$F23+'3. Vstupní data cloud'!$E24*'3. Vstupní data cloud'!$F24+'3. Vstupní data cloud'!$E25*'3. Vstupní data cloud'!$F25+'3. Vstupní data cloud'!$E26*'3. Vstupní data cloud'!$F26,0)</f>
        <v>0</v>
      </c>
      <c r="I146" s="355">
        <f>IF(DelkaProjektu&gt;=5,'3. Vstupní data cloud'!$E22*'3. Vstupní data cloud'!$F22+'3. Vstupní data cloud'!$E23*'3. Vstupní data cloud'!$F23+'3. Vstupní data cloud'!$E24*'3. Vstupní data cloud'!$F24+'3. Vstupní data cloud'!$E25*'3. Vstupní data cloud'!$F25+'3. Vstupní data cloud'!$E26*'3. Vstupní data cloud'!$F26,0)</f>
        <v>0</v>
      </c>
      <c r="J146" s="355">
        <f t="shared" ref="J146:J147" si="37">SUM(E146:I146)</f>
        <v>0</v>
      </c>
      <c r="K146" s="382"/>
    </row>
    <row r="147" spans="2:11" x14ac:dyDescent="0.25">
      <c r="B147" s="352" t="s">
        <v>96</v>
      </c>
      <c r="C147" s="369" t="s">
        <v>97</v>
      </c>
      <c r="D147" s="354" t="s">
        <v>112</v>
      </c>
      <c r="E147" s="355">
        <f>IF(DelkaProjektu&gt;=1,konektivitaCloud,0)</f>
        <v>0</v>
      </c>
      <c r="F147" s="355">
        <f>IF(DelkaProjektu&gt;=2,konektivitaCloud,0)</f>
        <v>0</v>
      </c>
      <c r="G147" s="355">
        <f>IF(DelkaProjektu&gt;=3,konektivitaCloud,0)</f>
        <v>0</v>
      </c>
      <c r="H147" s="355">
        <f>IF(DelkaProjektu&gt;=4,konektivitaCloud,0)</f>
        <v>0</v>
      </c>
      <c r="I147" s="355">
        <f>IF(DelkaProjektu&gt;=5,konektivitaCloud,0)</f>
        <v>0</v>
      </c>
      <c r="J147" s="355">
        <f t="shared" si="37"/>
        <v>0</v>
      </c>
      <c r="K147" s="382"/>
    </row>
    <row r="148" spans="2:11" x14ac:dyDescent="0.25">
      <c r="B148" s="371" t="s">
        <v>116</v>
      </c>
      <c r="C148" s="372" t="s">
        <v>378</v>
      </c>
      <c r="D148" s="372"/>
      <c r="E148" s="373">
        <f>SUM(E149)</f>
        <v>0</v>
      </c>
      <c r="F148" s="373">
        <f t="shared" ref="F148:I148" si="38">SUM(F149)</f>
        <v>0</v>
      </c>
      <c r="G148" s="373">
        <f t="shared" si="38"/>
        <v>0</v>
      </c>
      <c r="H148" s="373">
        <f t="shared" si="38"/>
        <v>0</v>
      </c>
      <c r="I148" s="373">
        <f t="shared" si="38"/>
        <v>0</v>
      </c>
      <c r="J148" s="373">
        <f t="shared" ref="J148:J153" si="39">SUM(E148:I148)</f>
        <v>0</v>
      </c>
      <c r="K148" s="382"/>
    </row>
    <row r="149" spans="2:11" x14ac:dyDescent="0.25">
      <c r="B149" s="352" t="s">
        <v>118</v>
      </c>
      <c r="C149" s="384" t="s">
        <v>364</v>
      </c>
      <c r="D149" s="354" t="s">
        <v>112</v>
      </c>
      <c r="E149" s="355">
        <f>IF(DelkaProjektu&gt;=1,ApliSWmaintenanceCloud,0)</f>
        <v>0</v>
      </c>
      <c r="F149" s="355">
        <f>IF(DelkaProjektu&gt;=2,ApliSWmaintenanceCloud,0)</f>
        <v>0</v>
      </c>
      <c r="G149" s="355">
        <f>IF(DelkaProjektu&gt;=3,ApliSWmaintenanceCloud,0)</f>
        <v>0</v>
      </c>
      <c r="H149" s="355">
        <f>IF(DelkaProjektu&gt;=4,ApliSWmaintenanceCloud,0)</f>
        <v>0</v>
      </c>
      <c r="I149" s="355">
        <f>IF(DelkaProjektu&gt;=5,ApliSWmaintenanceCloud,0)</f>
        <v>0</v>
      </c>
      <c r="J149" s="387">
        <f t="shared" si="39"/>
        <v>0</v>
      </c>
      <c r="K149" s="382"/>
    </row>
    <row r="150" spans="2:11" x14ac:dyDescent="0.25">
      <c r="B150" s="371" t="s">
        <v>190</v>
      </c>
      <c r="C150" s="372" t="s">
        <v>191</v>
      </c>
      <c r="D150" s="372" t="s">
        <v>112</v>
      </c>
      <c r="E150" s="373">
        <f>SUM(E151)</f>
        <v>0</v>
      </c>
      <c r="F150" s="373">
        <f t="shared" ref="F150:I150" si="40">SUM(F151)</f>
        <v>0</v>
      </c>
      <c r="G150" s="373">
        <f t="shared" si="40"/>
        <v>0</v>
      </c>
      <c r="H150" s="373">
        <f t="shared" si="40"/>
        <v>0</v>
      </c>
      <c r="I150" s="373">
        <f t="shared" si="40"/>
        <v>0</v>
      </c>
      <c r="J150" s="373">
        <f t="shared" si="39"/>
        <v>0</v>
      </c>
      <c r="K150" s="381"/>
    </row>
    <row r="151" spans="2:11" ht="15" customHeight="1" x14ac:dyDescent="0.25">
      <c r="B151" s="352" t="s">
        <v>192</v>
      </c>
      <c r="C151" s="353" t="s">
        <v>193</v>
      </c>
      <c r="D151" s="354" t="s">
        <v>112</v>
      </c>
      <c r="E151" s="355">
        <f>IF(DelkaProjektu&gt;=1,CenaXaaSrok,0)</f>
        <v>0</v>
      </c>
      <c r="F151" s="355">
        <f>IF(DelkaProjektu&gt;=2,CenaXaaSrok,0)</f>
        <v>0</v>
      </c>
      <c r="G151" s="355">
        <f>IF(DelkaProjektu&gt;=3,CenaXaaSrok,0)</f>
        <v>0</v>
      </c>
      <c r="H151" s="355">
        <f>IF(DelkaProjektu&gt;=4,CenaXaaSrok,0)</f>
        <v>0</v>
      </c>
      <c r="I151" s="355">
        <f>IF(DelkaProjektu&gt;=5,CenaXaaSrok,0)</f>
        <v>0</v>
      </c>
      <c r="J151" s="387">
        <f t="shared" si="39"/>
        <v>0</v>
      </c>
    </row>
    <row r="152" spans="2:11" ht="15" customHeight="1" x14ac:dyDescent="0.25">
      <c r="B152" s="371" t="s">
        <v>194</v>
      </c>
      <c r="C152" s="388" t="s">
        <v>362</v>
      </c>
      <c r="D152" s="372"/>
      <c r="E152" s="373">
        <f>SUM(E153:E153)</f>
        <v>0</v>
      </c>
      <c r="F152" s="373">
        <f>SUM(F153:F153)</f>
        <v>0</v>
      </c>
      <c r="G152" s="373">
        <f>SUM(G153:G153)</f>
        <v>0</v>
      </c>
      <c r="H152" s="373">
        <f>SUM(H153:H153)</f>
        <v>0</v>
      </c>
      <c r="I152" s="373">
        <f>SUM(I153:I153)</f>
        <v>0</v>
      </c>
      <c r="J152" s="373">
        <f t="shared" si="39"/>
        <v>0</v>
      </c>
    </row>
    <row r="153" spans="2:11" ht="15" customHeight="1" thickBot="1" x14ac:dyDescent="0.3">
      <c r="B153" s="352" t="s">
        <v>195</v>
      </c>
      <c r="C153" s="384" t="s">
        <v>282</v>
      </c>
      <c r="D153" s="354" t="s">
        <v>112</v>
      </c>
      <c r="E153" s="355">
        <f>IF(DelkaProjektu&gt;=1,KyberBezpecCelkemCloud+'3. Vstupní data cloud'!$E28*'3. Vstupní data cloud'!$F28,0)</f>
        <v>0</v>
      </c>
      <c r="F153" s="355">
        <f>IF(DelkaProjektu&gt;=2,KyberBezpecCelkemCloud+'3. Vstupní data cloud'!$E28*'3. Vstupní data cloud'!$F28,0)</f>
        <v>0</v>
      </c>
      <c r="G153" s="355">
        <f>IF(DelkaProjektu&gt;=3,KyberBezpecCelkemCloud+'3. Vstupní data cloud'!$E28*'3. Vstupní data cloud'!$F28,0)</f>
        <v>0</v>
      </c>
      <c r="H153" s="355">
        <f>IF(DelkaProjektu&gt;=4,KyberBezpecCelkemCloud+'3. Vstupní data cloud'!$E28*'3. Vstupní data cloud'!$F28,0)</f>
        <v>0</v>
      </c>
      <c r="I153" s="355">
        <f>IF(DelkaProjektu&gt;=5,KyberBezpecCelkemCloud+'3. Vstupní data cloud'!$E28*'3. Vstupní data cloud'!$F28,0)</f>
        <v>0</v>
      </c>
      <c r="J153" s="387">
        <f t="shared" si="39"/>
        <v>0</v>
      </c>
    </row>
    <row r="154" spans="2:11" ht="27" customHeight="1" thickTop="1" thickBot="1" x14ac:dyDescent="0.3">
      <c r="C154" s="213" t="s">
        <v>136</v>
      </c>
      <c r="D154" s="214" t="s">
        <v>112</v>
      </c>
      <c r="E154" s="227">
        <f t="shared" ref="E154:J154" si="41">SUM(E119+E122+E130+E144+E148+E150+E152)</f>
        <v>0</v>
      </c>
      <c r="F154" s="227">
        <f t="shared" si="41"/>
        <v>0</v>
      </c>
      <c r="G154" s="227">
        <f t="shared" si="41"/>
        <v>0</v>
      </c>
      <c r="H154" s="227">
        <f t="shared" si="41"/>
        <v>0</v>
      </c>
      <c r="I154" s="227">
        <f t="shared" si="41"/>
        <v>0</v>
      </c>
      <c r="J154" s="227">
        <f t="shared" si="41"/>
        <v>0</v>
      </c>
    </row>
    <row r="155" spans="2:11" ht="15.75" thickTop="1" x14ac:dyDescent="0.25">
      <c r="C155" s="216" t="s">
        <v>160</v>
      </c>
      <c r="D155" s="217"/>
      <c r="E155" s="218">
        <f>E154/1000</f>
        <v>0</v>
      </c>
      <c r="F155" s="218">
        <f>F154/1000</f>
        <v>0</v>
      </c>
      <c r="G155" s="218">
        <f t="shared" ref="G155" si="42">G154/1000</f>
        <v>0</v>
      </c>
      <c r="H155" s="218">
        <f t="shared" ref="H155" si="43">H154/1000</f>
        <v>0</v>
      </c>
      <c r="I155" s="218">
        <f t="shared" ref="I155" si="44">I154/1000</f>
        <v>0</v>
      </c>
      <c r="J155" s="208">
        <f>J154/1000</f>
        <v>0</v>
      </c>
    </row>
    <row r="156" spans="2:11" ht="15.75" thickBot="1" x14ac:dyDescent="0.3">
      <c r="C156" s="219" t="s">
        <v>182</v>
      </c>
      <c r="D156" s="220"/>
      <c r="E156" s="221">
        <f t="shared" ref="E156:J156" si="45">E154/PocetUzivatelu</f>
        <v>0</v>
      </c>
      <c r="F156" s="221">
        <f t="shared" si="45"/>
        <v>0</v>
      </c>
      <c r="G156" s="221">
        <f t="shared" si="45"/>
        <v>0</v>
      </c>
      <c r="H156" s="221">
        <f t="shared" si="45"/>
        <v>0</v>
      </c>
      <c r="I156" s="221">
        <f t="shared" si="45"/>
        <v>0</v>
      </c>
      <c r="J156" s="222">
        <f t="shared" si="45"/>
        <v>0</v>
      </c>
    </row>
    <row r="157" spans="2:11" ht="16.5" thickTop="1" thickBot="1" x14ac:dyDescent="0.3">
      <c r="D157" s="316"/>
      <c r="J157" s="226"/>
    </row>
    <row r="158" spans="2:11" ht="15.75" thickBot="1" x14ac:dyDescent="0.3">
      <c r="C158" s="197" t="s">
        <v>155</v>
      </c>
      <c r="D158" s="198"/>
      <c r="E158" s="309" t="s">
        <v>3</v>
      </c>
      <c r="F158" s="309" t="s">
        <v>4</v>
      </c>
      <c r="G158" s="309" t="s">
        <v>5</v>
      </c>
      <c r="H158" s="309" t="s">
        <v>6</v>
      </c>
      <c r="I158" s="309" t="s">
        <v>7</v>
      </c>
      <c r="J158" s="309"/>
    </row>
    <row r="159" spans="2:11" x14ac:dyDescent="0.25">
      <c r="C159" s="365" t="s">
        <v>421</v>
      </c>
      <c r="D159" s="366" t="s">
        <v>0</v>
      </c>
      <c r="E159" s="389">
        <v>1</v>
      </c>
      <c r="F159" s="389">
        <f>E159*NarustDiskUloziste+'4. Výsledky porovnání'!E159</f>
        <v>1</v>
      </c>
      <c r="G159" s="389">
        <f>F159*NarustDiskUloziste+'4. Výsledky porovnání'!F159</f>
        <v>1</v>
      </c>
      <c r="H159" s="389">
        <f>G159*NarustDiskUloziste+'4. Výsledky porovnání'!G159</f>
        <v>1</v>
      </c>
      <c r="I159" s="389">
        <f>H159*NarustDiskUloziste+'4. Výsledky porovnání'!H159</f>
        <v>1</v>
      </c>
      <c r="J159" s="390"/>
    </row>
    <row r="160" spans="2:11" x14ac:dyDescent="0.25">
      <c r="C160" s="365" t="s">
        <v>156</v>
      </c>
      <c r="D160" s="366" t="s">
        <v>221</v>
      </c>
      <c r="E160" s="389">
        <f>VelikostUloziste</f>
        <v>1</v>
      </c>
      <c r="F160" s="389">
        <f>E160+(E160*NarustDiskUloziste)</f>
        <v>1</v>
      </c>
      <c r="G160" s="389">
        <f>F160+(F160*NarustDiskUloziste)</f>
        <v>1</v>
      </c>
      <c r="H160" s="389">
        <f>G160+(G160*NarustDiskUloziste)</f>
        <v>1</v>
      </c>
      <c r="I160" s="389">
        <f>H160+(H160*NarustDiskUloziste)</f>
        <v>1</v>
      </c>
      <c r="J160" s="390"/>
    </row>
    <row r="161" spans="3:10" x14ac:dyDescent="0.25">
      <c r="C161" s="365" t="s">
        <v>164</v>
      </c>
      <c r="D161" s="366" t="s">
        <v>138</v>
      </c>
      <c r="E161" s="391">
        <f>IF(DiskVelikost=0,0,(E$160+E$160*(1-DiskTab))/DiskVelikost)</f>
        <v>0</v>
      </c>
      <c r="F161" s="391">
        <f>IF(DiskVelikost=0,0,(F$160+F$160*(1-DiskTab))/DiskVelikost)</f>
        <v>0</v>
      </c>
      <c r="G161" s="391">
        <f>IF(DiskVelikost=0,0,(G$160+G$160*(1-DiskTab))/DiskVelikost)</f>
        <v>0</v>
      </c>
      <c r="H161" s="391">
        <f>IF(DiskVelikost=0,0,(H$160+H$160*(1-DiskTab))/DiskVelikost)</f>
        <v>0</v>
      </c>
      <c r="I161" s="391">
        <f>IF(DiskVelikost=0,0,(I$160+I$160*(1-DiskTab))/DiskVelikost)</f>
        <v>0</v>
      </c>
      <c r="J161" s="390"/>
    </row>
    <row r="162" spans="3:10" x14ac:dyDescent="0.25">
      <c r="C162" s="365" t="s">
        <v>178</v>
      </c>
      <c r="D162" s="366" t="s">
        <v>138</v>
      </c>
      <c r="E162" s="391">
        <f>IF(SANPocetDisku=0,0,ROUNDUP(E161/SANPocetDisku,0)*SANPocetJednotek)</f>
        <v>0</v>
      </c>
      <c r="F162" s="391">
        <f>IF(SANPocetDisku=0,0,ROUNDUP(F161/SANPocetDisku,0)*SANPocetJednotek)</f>
        <v>0</v>
      </c>
      <c r="G162" s="391">
        <f>IF(SANPocetDisku=0,0,ROUNDUP(G161/SANPocetDisku,0)*SANPocetJednotek)</f>
        <v>0</v>
      </c>
      <c r="H162" s="391">
        <f>IF(SANPocetDisku=0,0,ROUNDUP(H161/SANPocetDisku,0)*SANPocetJednotek)</f>
        <v>0</v>
      </c>
      <c r="I162" s="391">
        <f>IF(SANPocetDisku=0,0,ROUNDUP(I161/SANPocetDisku,0)*SANPocetJednotek)</f>
        <v>0</v>
      </c>
      <c r="J162" s="390"/>
    </row>
    <row r="164" spans="3:10" ht="15" customHeight="1" x14ac:dyDescent="0.25"/>
    <row r="165" spans="3:10" ht="15" customHeight="1" x14ac:dyDescent="0.25">
      <c r="C165" s="505" t="s">
        <v>453</v>
      </c>
      <c r="D165" s="506"/>
      <c r="E165" s="507"/>
      <c r="F165" s="507"/>
    </row>
    <row r="167" spans="3:10" x14ac:dyDescent="0.25">
      <c r="C167" s="509" t="s">
        <v>454</v>
      </c>
      <c r="D167" s="510"/>
      <c r="E167" s="511"/>
      <c r="F167" s="511"/>
    </row>
  </sheetData>
  <printOptions horizontalCentered="1"/>
  <pageMargins left="0" right="0.70866141732283472" top="0.35433070866141736" bottom="0.15748031496062992" header="0" footer="0"/>
  <pageSetup paperSize="8" fitToHeight="10" orientation="landscape" r:id="rId1"/>
  <headerFooter>
    <oddFooter>&amp;L&amp;"Calibri,Obyčejné"&amp;9Výsledky porovnání on-premise a cloudového řešení pro XaaS&amp;C&amp;"Calibri,Obyčejné"&amp;9&amp;P/&amp;N</oddFooter>
  </headerFooter>
  <rowBreaks count="4" manualBreakCount="4">
    <brk id="21" max="10" man="1"/>
    <brk id="25" max="10" man="1"/>
    <brk id="71" max="10" man="1"/>
    <brk id="116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13E08AE598234980E35FB74B18D3A8" ma:contentTypeVersion="5" ma:contentTypeDescription="Create a new document." ma:contentTypeScope="" ma:versionID="0f1cb1f5912a576642db48eca501b876">
  <xsd:schema xmlns:xsd="http://www.w3.org/2001/XMLSchema" xmlns:xs="http://www.w3.org/2001/XMLSchema" xmlns:p="http://schemas.microsoft.com/office/2006/metadata/properties" xmlns:ns2="ef7d5611-377b-460b-9d83-09a6a37615f0" targetNamespace="http://schemas.microsoft.com/office/2006/metadata/properties" ma:root="true" ma:fieldsID="8a462ad03761b74f11369343bd700e80" ns2:_="">
    <xsd:import namespace="ef7d5611-377b-460b-9d83-09a6a37615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d5611-377b-460b-9d83-09a6a37615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AFBB3C-6503-4DE1-8DBD-9DBFFAD04753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ef7d5611-377b-460b-9d83-09a6a37615f0"/>
  </ds:schemaRefs>
</ds:datastoreItem>
</file>

<file path=customXml/itemProps2.xml><?xml version="1.0" encoding="utf-8"?>
<ds:datastoreItem xmlns:ds="http://schemas.openxmlformats.org/officeDocument/2006/customXml" ds:itemID="{581BDDC3-0798-4825-879B-7920CE31EB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E6A618-609B-4042-AD56-EA21E03932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7d5611-377b-460b-9d83-09a6a37615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101</vt:i4>
      </vt:variant>
    </vt:vector>
  </HeadingPairs>
  <TitlesOfParts>
    <vt:vector size="106" baseType="lpstr">
      <vt:lpstr>1.Úvodní parametry</vt:lpstr>
      <vt:lpstr>tabulky</vt:lpstr>
      <vt:lpstr>2. Vstupní data on-premise </vt:lpstr>
      <vt:lpstr>3. Vstupní data cloud</vt:lpstr>
      <vt:lpstr>4. Výsledky porovnání</vt:lpstr>
      <vt:lpstr>AnoNe</vt:lpstr>
      <vt:lpstr>AntivirPoplatekRokUzivatel</vt:lpstr>
      <vt:lpstr>AplikacniSWLicence</vt:lpstr>
      <vt:lpstr>AplikacniSWMaintenance</vt:lpstr>
      <vt:lpstr>ApliSWCloud</vt:lpstr>
      <vt:lpstr>ApliSWmaintenanceCloud</vt:lpstr>
      <vt:lpstr>BezpecDohled</vt:lpstr>
      <vt:lpstr>BezpecProjekt</vt:lpstr>
      <vt:lpstr>CelkemHodinPodpora</vt:lpstr>
      <vt:lpstr>CelkemHodinProvoz</vt:lpstr>
      <vt:lpstr>CelkemHodinRizeni</vt:lpstr>
      <vt:lpstr>CelkemNakladyCloud</vt:lpstr>
      <vt:lpstr>CelkemNakladyOnpremise</vt:lpstr>
      <vt:lpstr>CenaCloudIaaSRok</vt:lpstr>
      <vt:lpstr>CenaCloudLicenceUzivatelRok</vt:lpstr>
      <vt:lpstr>CenaElektriny</vt:lpstr>
      <vt:lpstr>cenaVlastnihoVyvoje</vt:lpstr>
      <vt:lpstr>CenaXaaSrok</vt:lpstr>
      <vt:lpstr>DatabazovySW</vt:lpstr>
      <vt:lpstr>DatabazovySWMaintenance</vt:lpstr>
      <vt:lpstr>DelkaProjektu</vt:lpstr>
      <vt:lpstr>DélkaProjektu</vt:lpstr>
      <vt:lpstr>DiskTab</vt:lpstr>
      <vt:lpstr>DiskVelikost</vt:lpstr>
      <vt:lpstr>ExterKonzultaceAnalyza</vt:lpstr>
      <vt:lpstr>ExterniKonektivita</vt:lpstr>
      <vt:lpstr>ExterniPoradenstviVerejnaZakazka</vt:lpstr>
      <vt:lpstr>Firewall</vt:lpstr>
      <vt:lpstr>FirewallMaint</vt:lpstr>
      <vt:lpstr>FTP</vt:lpstr>
      <vt:lpstr>HodinovaSazbaIT</vt:lpstr>
      <vt:lpstr>HodinSazbaIT2</vt:lpstr>
      <vt:lpstr>HodinSazbaIT3</vt:lpstr>
      <vt:lpstr>HWappliance</vt:lpstr>
      <vt:lpstr>HWuzivateleCloud</vt:lpstr>
      <vt:lpstr>IntegracniSW</vt:lpstr>
      <vt:lpstr>IntegracniSWMaintenance</vt:lpstr>
      <vt:lpstr>InterniKonektivita</vt:lpstr>
      <vt:lpstr>JinyPrvek</vt:lpstr>
      <vt:lpstr>JinyPrvekMaint</vt:lpstr>
      <vt:lpstr>JinyPrvekPorizeni</vt:lpstr>
      <vt:lpstr>KoncovyHWuziv</vt:lpstr>
      <vt:lpstr>konektivitaCloud</vt:lpstr>
      <vt:lpstr>KurzCZKEUR</vt:lpstr>
      <vt:lpstr>KurzCZKUSD</vt:lpstr>
      <vt:lpstr>KyberBezpecCelkem</vt:lpstr>
      <vt:lpstr>KyberBezpecCelkemCloud</vt:lpstr>
      <vt:lpstr>LoadBalancerPorizeni</vt:lpstr>
      <vt:lpstr>maintenanceApliance</vt:lpstr>
      <vt:lpstr>MiddleJinySW</vt:lpstr>
      <vt:lpstr>MiddleJinySWMaintenance</vt:lpstr>
      <vt:lpstr>NákladyDPH</vt:lpstr>
      <vt:lpstr>NarustDiskUloziste</vt:lpstr>
      <vt:lpstr>OnExterniPoradenstviVerejnaZakazka</vt:lpstr>
      <vt:lpstr>OnPremExterniPoradenstviVerejnaZakazka</vt:lpstr>
      <vt:lpstr>OperacniSystem</vt:lpstr>
      <vt:lpstr>OSPoplatekRok</vt:lpstr>
      <vt:lpstr>PocetServeru</vt:lpstr>
      <vt:lpstr>PocetUzivatelu</vt:lpstr>
      <vt:lpstr>PočetLet</vt:lpstr>
      <vt:lpstr>pof</vt:lpstr>
      <vt:lpstr>pr</vt:lpstr>
      <vt:lpstr>'1.Úvodní parametry'!Print_Area</vt:lpstr>
      <vt:lpstr>'2. Vstupní data on-premise '!Print_Area</vt:lpstr>
      <vt:lpstr>'3. Vstupní data cloud'!Print_Area</vt:lpstr>
      <vt:lpstr>'4. Výsledky porovnání'!Print_Area</vt:lpstr>
      <vt:lpstr>ProcentoInterniZdrojePremiseNAKUP</vt:lpstr>
      <vt:lpstr>RackUmisteni</vt:lpstr>
      <vt:lpstr>RackyPorizeni</vt:lpstr>
      <vt:lpstr>RouterPorizeni</vt:lpstr>
      <vt:lpstr>SANCenaTB</vt:lpstr>
      <vt:lpstr>SANPocetDisku</vt:lpstr>
      <vt:lpstr>SANPocetJednotek</vt:lpstr>
      <vt:lpstr>SANTbCena</vt:lpstr>
      <vt:lpstr>ServerCena</vt:lpstr>
      <vt:lpstr>ServerPocetJednotek</vt:lpstr>
      <vt:lpstr>ServerUdrzba</vt:lpstr>
      <vt:lpstr>SpotrebaElektrinyOstatni</vt:lpstr>
      <vt:lpstr>SpotrebaElektrinyServerRok</vt:lpstr>
      <vt:lpstr>SpotrebaElektrinyUlozisteRok</vt:lpstr>
      <vt:lpstr>SWappliance</vt:lpstr>
      <vt:lpstr>SWInfrastrukturaMaintenance</vt:lpstr>
      <vt:lpstr>SWInfrastrukturaNakup</vt:lpstr>
      <vt:lpstr>SwitchPorizeni</vt:lpstr>
      <vt:lpstr>SWkoncovehoHW</vt:lpstr>
      <vt:lpstr>SWkoncovehoUzivateleCloud</vt:lpstr>
      <vt:lpstr>tabulka</vt:lpstr>
      <vt:lpstr>Typrole</vt:lpstr>
      <vt:lpstr>VelikostDatabaze</vt:lpstr>
      <vt:lpstr>VelikostUloziste</vt:lpstr>
      <vt:lpstr>VyvojNakup</vt:lpstr>
      <vt:lpstr>VyvojSW</vt:lpstr>
      <vt:lpstr>vyvojSWmanten</vt:lpstr>
      <vt:lpstr>WindowsPoplatekRokUzivatel</vt:lpstr>
      <vt:lpstr>WindowsSrvPoplatekRok</vt:lpstr>
      <vt:lpstr>ZalohaTbCena</vt:lpstr>
      <vt:lpstr>ZalohaTBCenaHW</vt:lpstr>
      <vt:lpstr>ZivotHWaSWuzivatele</vt:lpstr>
      <vt:lpstr>ZivotnostServeru</vt:lpstr>
      <vt:lpstr>ZivotnostUzivatelskychZarizeni</vt:lpstr>
      <vt:lpstr>ŽivotnostUživatelskýchZařízení</vt:lpstr>
    </vt:vector>
  </TitlesOfParts>
  <Company>eGC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eGC team Group E</dc:creator>
  <cp:lastModifiedBy>honza</cp:lastModifiedBy>
  <cp:lastPrinted>2018-09-17T13:55:25Z</cp:lastPrinted>
  <dcterms:created xsi:type="dcterms:W3CDTF">2016-01-25T14:16:49Z</dcterms:created>
  <dcterms:modified xsi:type="dcterms:W3CDTF">2018-09-20T06:38:15Z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0x0101004B13E08AE598234980E35FB74B18D3A8</vt:lpwstr>
  </property>
  <property fmtid="{D5CDD505-2E9C-101B-9397-08002B2CF9AE}" pid="3" name="MSIP_Label_8b33fbad-f6f4-45bd-b8c1-f46f3711dcc6_Enabled">
    <vt:lpwstr>True</vt:lpwstr>
  </property>
  <property fmtid="{D5CDD505-2E9C-101B-9397-08002B2CF9AE}" pid="4" name="MSIP_Label_8b33fbad-f6f4-45bd-b8c1-f46f3711dcc6_SiteId">
    <vt:lpwstr>8ef2ef64-61e6-4033-9f7f-48ccd5d03c90</vt:lpwstr>
  </property>
  <property fmtid="{D5CDD505-2E9C-101B-9397-08002B2CF9AE}" pid="5" name="MSIP_Label_8b33fbad-f6f4-45bd-b8c1-f46f3711dcc6_Owner">
    <vt:lpwstr>judita.jamrichova@spcss.cz</vt:lpwstr>
  </property>
  <property fmtid="{D5CDD505-2E9C-101B-9397-08002B2CF9AE}" pid="6" name="MSIP_Label_8b33fbad-f6f4-45bd-b8c1-f46f3711dcc6_SetDate">
    <vt:lpwstr>2018-08-16T13:06:27.4244779Z</vt:lpwstr>
  </property>
  <property fmtid="{D5CDD505-2E9C-101B-9397-08002B2CF9AE}" pid="7" name="MSIP_Label_8b33fbad-f6f4-45bd-b8c1-f46f3711dcc6_Name">
    <vt:lpwstr>Veřejné</vt:lpwstr>
  </property>
  <property fmtid="{D5CDD505-2E9C-101B-9397-08002B2CF9AE}" pid="8" name="MSIP_Label_8b33fbad-f6f4-45bd-b8c1-f46f3711dcc6_Application">
    <vt:lpwstr>Microsoft Azure Information Protection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</Properties>
</file>