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91" windowWidth="12120" windowHeight="8835" tabRatio="929" firstSheet="4" activeTab="4"/>
  </bookViews>
  <sheets>
    <sheet name="tab9-příjmy" sheetId="1" r:id="rId1"/>
    <sheet name="tab9-1-HZS" sheetId="2" r:id="rId2"/>
    <sheet name="tab10důchody" sheetId="3" r:id="rId3"/>
    <sheet name="tab11 dávky" sheetId="4" r:id="rId4"/>
    <sheet name="tab12 OPF" sheetId="5" r:id="rId5"/>
    <sheet name="tab12-1 OPF" sheetId="6" r:id="rId6"/>
    <sheet name="tab12-2 OPF" sheetId="7" r:id="rId7"/>
    <sheet name="tab13-výd.čtvrtl." sheetId="8" r:id="rId8"/>
    <sheet name="tab14-EU" sheetId="9" r:id="rId9"/>
    <sheet name="tab 15 HZS" sheetId="10" r:id="rId10"/>
    <sheet name="tab 16 škol." sheetId="11" r:id="rId11"/>
    <sheet name="tab 17 arch." sheetId="12" r:id="rId12"/>
    <sheet name="tab 18 celk.čerp." sheetId="13" r:id="rId13"/>
    <sheet name="tab 19 nároky " sheetId="14" r:id="rId14"/>
    <sheet name="tab 19 nároky II" sheetId="15" r:id="rId15"/>
    <sheet name="org.schéma" sheetId="16" r:id="rId16"/>
  </sheets>
  <externalReferences>
    <externalReference r:id="rId19"/>
  </externalReferences>
  <definedNames>
    <definedName name="_xlnm.Print_Titles" localSheetId="14">'tab 19 nároky II'!$1:$9</definedName>
    <definedName name="_xlnm.Print_Titles" localSheetId="5">'tab12-1 OPF'!$3:$7</definedName>
    <definedName name="_xlnm.Print_Titles" localSheetId="6">'tab12-2 OPF'!$2:$4</definedName>
  </definedNames>
  <calcPr fullCalcOnLoad="1" refMode="R1C1"/>
</workbook>
</file>

<file path=xl/sharedStrings.xml><?xml version="1.0" encoding="utf-8"?>
<sst xmlns="http://schemas.openxmlformats.org/spreadsheetml/2006/main" count="11674" uniqueCount="2483">
  <si>
    <t>EHP/NORSKO celkem</t>
  </si>
  <si>
    <t>tis. Kč</t>
  </si>
  <si>
    <t>Tabulka č. 14</t>
  </si>
  <si>
    <t>Kontrolovala: Ing. Oliveriusová, tel. 974 849 324</t>
  </si>
  <si>
    <t>Přehled o výdajích na financování programů reprodukce majetku v roce 2008 dle jednotlivých programů</t>
  </si>
  <si>
    <t>Investiční program resp. podprogram</t>
  </si>
  <si>
    <t>Název</t>
  </si>
  <si>
    <t xml:space="preserve">Schválený rozpočet            (R1)                 </t>
  </si>
  <si>
    <t xml:space="preserve">Upravený rozpočet          (R2)                   </t>
  </si>
  <si>
    <t xml:space="preserve">Zapojení mimoroz-počtových zdrojů dle zák. č. 218/2000 Sb. </t>
  </si>
  <si>
    <t xml:space="preserve">Celková možnost 
čerpání po zapojení mimorozpočtových zdrojů
(sl. 2+3)        </t>
  </si>
  <si>
    <t>Čerpání v roce 2008</t>
  </si>
  <si>
    <t>Nespotřebované výdaje</t>
  </si>
  <si>
    <t>Porovnání čerpání v roce 2008 ve vztahu k R2</t>
  </si>
  <si>
    <t xml:space="preserve">Porovnání čerpání v roce 2008 ve vztahu k celk. možnosti čerpání  </t>
  </si>
  <si>
    <t xml:space="preserve">Čerpání
v roce
2007              </t>
  </si>
  <si>
    <t>Porovnání čerpání 2008/2007     (sloupec 5:9)</t>
  </si>
  <si>
    <t>114040</t>
  </si>
  <si>
    <t>Rozvoj a obnova mat. tech. základny organizací služeb resortu MV</t>
  </si>
  <si>
    <t>***,**</t>
  </si>
  <si>
    <t>114050</t>
  </si>
  <si>
    <t>Podpora prevence kriminality</t>
  </si>
  <si>
    <t>114060</t>
  </si>
  <si>
    <t>Podpora mezinárodní spolupráce a aktivní zapojení do formulování azylové a migrační politiky v rámci EU</t>
  </si>
  <si>
    <t>114070</t>
  </si>
  <si>
    <t>Programy spolufinancováné z rozpočtu EU - IOP a OP LZZ</t>
  </si>
  <si>
    <t>Pořízení SW produktů MS Enterprise pro Policii ČR - PP ČR</t>
  </si>
  <si>
    <t>Pořízení SW produktů MS Enterprise pro Policii ČR - Včk</t>
  </si>
  <si>
    <t>Pořízení SW produktů MS Enterprise pro Policii ČR - Smk</t>
  </si>
  <si>
    <t>Pořízení SW produktů MS Enterprise pro Policii ČR - Jčk</t>
  </si>
  <si>
    <t>Tuchoměřice, služební kynologie - výstavba technickoprovozní budovy</t>
  </si>
  <si>
    <t>Brno, Rybářská ul.- rekonstrukce objektu pro OŘP Brno-venkov</t>
  </si>
  <si>
    <t>OŘ PČR  a OO PČR Přerov - nová výstavba</t>
  </si>
  <si>
    <t>FKSP- rekreační zařízení Čeladná - rekonstrukce</t>
  </si>
  <si>
    <t>Chomutov, T.G.Masaryka 3100 - zprovoznění objektu po OÚ</t>
  </si>
  <si>
    <t>OO PČR Brno, Bystrc čp. 129 - nová výstavba</t>
  </si>
  <si>
    <t>PČR S Jčk České Budějovice, Lišov-Slabce - výstavba kryté pistolové střelnice</t>
  </si>
  <si>
    <t>P1000 - OOP Karlovy Vary - město - recepce</t>
  </si>
  <si>
    <t xml:space="preserve">CZ.1.06/3.4.00/08.xx252 P1000  - OŘP Jihlava,  Vrchlického 46 </t>
  </si>
  <si>
    <t>KV - MRZ SF EU</t>
  </si>
  <si>
    <t>Praha 5 , areál Zbraslav -  stavební úpravy v obj. 01.2, 01.3, 01.4 a 01.5</t>
  </si>
  <si>
    <t>SZK PČR, OKTE - stavební úpravy</t>
  </si>
  <si>
    <t>CZ.1.02/3.2.00/07.00561 - OŘP Svitavy, Purkyňova 1907 - rek.a modernizace objektu</t>
  </si>
  <si>
    <t>Výstavba OŘP Liberec - zastavovací a objemová studie</t>
  </si>
  <si>
    <t>FKSP - Jankov DT - výstavba kuchyně s jídelnou + trafostanice</t>
  </si>
  <si>
    <t xml:space="preserve">CZ.1.06/3.4.00/08.xx252 P1000 - OOP Teplice, Vrchlického 974/10 </t>
  </si>
  <si>
    <t>CZ.1.06/3.4.00/08.xx252 P1000 - OOP Jablonec nad Nisou, 5. května 5258/60</t>
  </si>
  <si>
    <t xml:space="preserve">CZ.1.06/3.4.00/08.xx252 P1000 - OOP Děčín, Tržní 165/7 </t>
  </si>
  <si>
    <t>P1000 - Praha 3, Koněvova 103/2743 - recepce</t>
  </si>
  <si>
    <t>P1000 - OOP Hodonín, ul. Velkomoravská č.o.14,16 - recepce</t>
  </si>
  <si>
    <t xml:space="preserve">CZ.1.06/3.4.00/08.xx252 P1000 - OOP Otrokovice, ul. Nám.3. května </t>
  </si>
  <si>
    <t>P1000 MD13 - MŘP Plzeň, Klatovská čp.56 - back office</t>
  </si>
  <si>
    <t>P1000 - OO PČR Domažlice, Hruškova čp.152 - recepce</t>
  </si>
  <si>
    <t>P1000 - OOP Sokolov město, Hornická 2047 - recepce</t>
  </si>
  <si>
    <t>P1000 - OOP Poděbrady, Palachova 220 - recepce</t>
  </si>
  <si>
    <t>P1000 - OŘP Praha - venkov, Praha 5, Zborovská 1505/13 - recepce</t>
  </si>
  <si>
    <t>P1000 - DI Benešov, K Pazderně 880 - recepce</t>
  </si>
  <si>
    <t>CZ.1.06/3.4.00/08.xx252 P1000 - OOP Trutnov, Roty Nazdar 496 - "KKC"</t>
  </si>
  <si>
    <t>P1000 MD13 - OOP Králův Dvůr - oprava a rozšíření hygienického zařízení</t>
  </si>
  <si>
    <t>OOP Kostelec nad Černými Lesy - rekonstrukce</t>
  </si>
  <si>
    <t>CZ.1.06/3.4.00/08.xx252 P1000 - OOP Křivoklát, Roztoky 112</t>
  </si>
  <si>
    <t>CZ.1.06/3.4.00/01.00209 P1000 - OOP Příbram, Hornických učňů 256</t>
  </si>
  <si>
    <t>FKSP - RZ PČR chata Churáňov - kanalizační přípojka</t>
  </si>
  <si>
    <t>CZ.1.06/3.4.00/08.xx252 P1000 - OOP Prosetice č.p. 283</t>
  </si>
  <si>
    <t xml:space="preserve">CZ.1.06/3.4.00/08.xx252 P1000 - OOP Štětí 315 </t>
  </si>
  <si>
    <t>CZ.1.06/3.4.00/08.xx252 P1000 - OOP Postoloprty č.p.338</t>
  </si>
  <si>
    <t>CZ.1.06/3.4.00/08.xx252 P1000 - OOP Podbořany 314</t>
  </si>
  <si>
    <t xml:space="preserve">CZ.1.06/3.4.00/08.xx252 P1000 - OOP Česká Lípa, Paní Zdislavy 299 </t>
  </si>
  <si>
    <t>CZ.1.06/3.4.00/08.xx252 P1000 - OOP Krupka, Karla Čapka 173</t>
  </si>
  <si>
    <t>CZ.1.06/3.4.00/08.xx252 P1000 - OOP Litvínov, Přátelství 134</t>
  </si>
  <si>
    <t xml:space="preserve">CZ.1.06/3.4.00/08.xx252 P1000 - OOP Doksy, Máchova 144 </t>
  </si>
  <si>
    <t>CZ.1.06/3.4.00/08.xx252 P1000 - OOP Hrádek nad Nisou, Husova 196</t>
  </si>
  <si>
    <t xml:space="preserve">CZ.1.06/3.4.00/08.xx252 P1000 - OOP Chrastava, Pobřežní 430 </t>
  </si>
  <si>
    <t>CZ.1.06/3.4.00/08.xx252 P1000 - OOP Roudnice nad Labem, Riegerova 636</t>
  </si>
  <si>
    <t xml:space="preserve">CZ.1.06/3.4.00/08.xx252 P1000 - OOP Žatec, Dlouhá 111,112 </t>
  </si>
  <si>
    <t>CZ.1.06/3.4.00/08.xx252 P1000 - OOP Tanvald, Poštovní 242</t>
  </si>
  <si>
    <t xml:space="preserve">CZ.1.06/3.4.00/08.xx252 P1000 - OOP Bílina, Studentská 874 </t>
  </si>
  <si>
    <t>CZ.1.06/3.4.00/08.xx252 P1000 - OOP Mimoň, Mírová 129</t>
  </si>
  <si>
    <t>CZ.1.06/3.4.00/08.xx252 P1000 - OOP Kadaň, Klášterecká 1483/432</t>
  </si>
  <si>
    <t xml:space="preserve">CZ.1.06/3.4.00/08.xx252 P1000 - OOP Železný Brod 729 </t>
  </si>
  <si>
    <t>CZ.1.06/3.4.00/08.xx252 P1000 - OOP  Děčín, Kaštanová 301/2</t>
  </si>
  <si>
    <t xml:space="preserve">CZ.1.06/3.4.00/08.xx252 P1000 - OOP Trmice, Lovecká 10 </t>
  </si>
  <si>
    <t>CZ.1.06/3.4.00/08.xx252 P1000 - OOP Teplice, Husitská 708/5</t>
  </si>
  <si>
    <t xml:space="preserve">CZ.1.06/3.4.00/08.xx252 P1000 - OŘP Prachatice, Pivovarská 4 </t>
  </si>
  <si>
    <t>CZ.1.06/3.4.00/08.xx252 P1000 - OO PČR Tábor, Divadelní 212</t>
  </si>
  <si>
    <t xml:space="preserve">CZ.1.06/3.4.00/08.xx252 P1000 - OOP Kaplice, Omlenická 311 </t>
  </si>
  <si>
    <t>CZ.1.06/3.4.00/08.xx252 P1000 - OOP Vimperk, č. p. 73</t>
  </si>
  <si>
    <t xml:space="preserve">CZ.1.06/3.4.00/08.xx252 P1000  - OOP Týn nad Vltavou, Deweterova 326 </t>
  </si>
  <si>
    <t xml:space="preserve">CZ.1.06/3.4.00/01.00209 P1000 - OOP Vyšší Brod, 5. května 22 </t>
  </si>
  <si>
    <t xml:space="preserve">CZ.1.06/3.4.00/08.xx252 P1000 - OOP Milevsko, č.p. 7 </t>
  </si>
  <si>
    <t xml:space="preserve">CZ.1.06/3.4.00/08.xx252 P1000 - OOP Písek, Zeyerova 541 </t>
  </si>
  <si>
    <t>CZ.1.06/3.4.00/08.xx252 P1000 - OŘP Pelhřimov , Pražská 1738</t>
  </si>
  <si>
    <t xml:space="preserve">CZ.1.06/3.4.00/08.xx252 P1000 - OOP Horní Planá, č.p. 178 </t>
  </si>
  <si>
    <t xml:space="preserve">CZ.1.06/3.4.00/01.00209 P1000 - OOP Protivín, Mírová 166 </t>
  </si>
  <si>
    <t xml:space="preserve">CZ.1.06/3.4.00/08.xx252 P1000 - OOP Kamenice nad Lipou, č.p. 627 </t>
  </si>
  <si>
    <t>SUZ - Servery</t>
  </si>
  <si>
    <t>KV - SR</t>
  </si>
  <si>
    <t>PoS Zastávka - Domácí rozhlas</t>
  </si>
  <si>
    <t xml:space="preserve">ZZC Poštorná - Rozšíření kamerového systému </t>
  </si>
  <si>
    <t>SUZ - Obnova služebních dopravních prostředků</t>
  </si>
  <si>
    <t>Nákup strojů pro administrativu</t>
  </si>
  <si>
    <t>SUZ - Obnova movitého majetku investičního</t>
  </si>
  <si>
    <t>ZZC Poštorná - Rozšíření vycházkového prostoru vč. zabezpečení</t>
  </si>
  <si>
    <t>ZZC Bělá - Multifunční hřiště</t>
  </si>
  <si>
    <t>PoS a IAS Havířov - Vybudování hřiště</t>
  </si>
  <si>
    <t xml:space="preserve">ZZC Poštorná - Vybudování návštěvní místnosti </t>
  </si>
  <si>
    <t xml:space="preserve">PoS Kostelec - Úpravna vody na objektech areálu </t>
  </si>
  <si>
    <t>PoS Kostelec - Odstranění vlhkosti v suterénu B.č. 1 a B.č. 2 -/ Hydropol /</t>
  </si>
  <si>
    <t>PoS Zastávka - Únikové schodiště u ubytoven 02 a 04</t>
  </si>
  <si>
    <t>PoS a IAS Havířov - Výměna oken a rekonstrukce balkónů</t>
  </si>
  <si>
    <t xml:space="preserve">PoS Zastávka - Kuchyňky pro samostatné vaření </t>
  </si>
  <si>
    <t xml:space="preserve">ZZC Bělá - Rekonstrukce kanalizace D - klub </t>
  </si>
  <si>
    <t xml:space="preserve">PoS Kostelec - Zastřešení ČOV </t>
  </si>
  <si>
    <t>ZZC Velké Přílepy - Rekonstrukce oplocení areálu</t>
  </si>
  <si>
    <t>PoS Kostelec - Náhradní výsadba stromů</t>
  </si>
  <si>
    <t>PrS Vyšní Lhoty - Vybudování bytové jednotky pro handicapy s bezbar.přístupem</t>
  </si>
  <si>
    <t>ZZC Bělá - Automatická vjezdová závora a elektronický docházkový systém</t>
  </si>
  <si>
    <t>EUF2007-04 Dětské hřiště v PoS Kostelec nad Orlicí</t>
  </si>
  <si>
    <t>KV - SF EU</t>
  </si>
  <si>
    <t>SUZ MV - Elektronická spisová služba - 1. etapa</t>
  </si>
  <si>
    <t>Pořízení souborů movitých věcí pro útvary MV</t>
  </si>
  <si>
    <t>Praha 8 , Střelničná rekonstrukce vjezdu do objektu</t>
  </si>
  <si>
    <t>Praha 7 Letná - úprava vstupního vestibulu z ulice Milady Horákové</t>
  </si>
  <si>
    <t>Czech POINT - Centrotex</t>
  </si>
  <si>
    <t>Praha 8, Střelničná - demolice objektu - I. etapa</t>
  </si>
  <si>
    <t>PA ČR</t>
  </si>
  <si>
    <t>Muzeum P ČR</t>
  </si>
  <si>
    <t xml:space="preserve">ms resortní školství a Muzeum P ČR </t>
  </si>
  <si>
    <t>SUZ MV</t>
  </si>
  <si>
    <t>Zařízení služeb pro MV</t>
  </si>
  <si>
    <t>IMS MV</t>
  </si>
  <si>
    <t>LLÚ MV</t>
  </si>
  <si>
    <t>Tiskárna MV</t>
  </si>
  <si>
    <t>Bytová správa MV</t>
  </si>
  <si>
    <t xml:space="preserve">ms SPO </t>
  </si>
  <si>
    <t>Celkem MV</t>
  </si>
  <si>
    <t xml:space="preserve">Čerpání celkem zahrnuje použití mimorozpočtových zdrojů a prostředků, o které byly OSS oprávněny překročit závazné ukazatele výdajů </t>
  </si>
  <si>
    <t>% - čerpání po čtvrtletích k celkovému čerpání</t>
  </si>
  <si>
    <t>Tabulka č. 13</t>
  </si>
  <si>
    <t>Ústřední orgán</t>
  </si>
  <si>
    <t>Školské účelové zařízení MV Ruzyně</t>
  </si>
  <si>
    <t>Přehled o čerpání rozpočtu Ministerstva vnitra v letech 2003 až 2008 včetně schváleného rozpočtu na rok 2009</t>
  </si>
  <si>
    <t>U k a z a t e l</t>
  </si>
  <si>
    <t>skutečnost  1993</t>
  </si>
  <si>
    <t>skutečnost  1994</t>
  </si>
  <si>
    <t>skutečnost  1995</t>
  </si>
  <si>
    <t>skutečnost  1996</t>
  </si>
  <si>
    <t>skutečnost  1997</t>
  </si>
  <si>
    <t>skutečnost  1998</t>
  </si>
  <si>
    <t>skutečnost  1999</t>
  </si>
  <si>
    <t>skutečnost   2000</t>
  </si>
  <si>
    <t>skutečnost  2001</t>
  </si>
  <si>
    <t>skutečnost  2002</t>
  </si>
  <si>
    <t>schválený rozpočet 2009</t>
  </si>
  <si>
    <t>Příjmy celkem</t>
  </si>
  <si>
    <t>v tom :  -  příjmy z pojistného a přísp. na státní politiku zaměstn.</t>
  </si>
  <si>
    <t xml:space="preserve">                z toho: pojistné na důchodové pojištění</t>
  </si>
  <si>
    <t xml:space="preserve">             -  nedaňové příjmy</t>
  </si>
  <si>
    <t xml:space="preserve">             -  daňové příjmy (původně rozpočtovány u MF)</t>
  </si>
  <si>
    <t>x</t>
  </si>
  <si>
    <t>Výdaje celkem *)</t>
  </si>
  <si>
    <t>v tom: - výdaje na financ.progr. vč. niv souvisejících (PF)</t>
  </si>
  <si>
    <r>
      <t xml:space="preserve">            - výzkum a vývoj </t>
    </r>
    <r>
      <rPr>
        <b/>
        <vertAlign val="superscript"/>
        <sz val="11"/>
        <rFont val="Arial CE"/>
        <family val="0"/>
      </rPr>
      <t>*)</t>
    </r>
  </si>
  <si>
    <t xml:space="preserve">            - převod do rezervního fondu</t>
  </si>
  <si>
    <t xml:space="preserve">            - běžné výdaje celkem</t>
  </si>
  <si>
    <t>v tom:</t>
  </si>
  <si>
    <r>
      <t xml:space="preserve">           - platy zaměstnanců a OPPP </t>
    </r>
    <r>
      <rPr>
        <vertAlign val="superscript"/>
        <sz val="11"/>
        <rFont val="Arial CE"/>
        <family val="0"/>
      </rPr>
      <t>*)</t>
    </r>
  </si>
  <si>
    <t>OUPO Brno, Trnkova 85 - přístavba ubytovny B - severní křídlo</t>
  </si>
  <si>
    <t>Valašské Klobouky PS - výcvikové středisko</t>
  </si>
  <si>
    <t>Holice v Čechách PS - vybudování systému odtahu spalin</t>
  </si>
  <si>
    <t>OUPO BM - Opravy a údržba nemovitého majetku</t>
  </si>
  <si>
    <t>OUPO BO - Opravy a údržba nemovitého majetku</t>
  </si>
  <si>
    <t>OUPO CV - Opravy a údržba nemovitého majetku</t>
  </si>
  <si>
    <t>OUPO FM - Opravy a údržba nemovitého majetku</t>
  </si>
  <si>
    <t xml:space="preserve">OZ OL - Opravy a údržba nemovitého majetku </t>
  </si>
  <si>
    <t>TÚPO - Opravy a údržba nemovitého majetku</t>
  </si>
  <si>
    <t>IOO - Opravy a údržba nemovitého majetku</t>
  </si>
  <si>
    <t>ZL OL - Opravy a údržba nemovitého majetku</t>
  </si>
  <si>
    <t xml:space="preserve">Liberec KŘ - výstavba </t>
  </si>
  <si>
    <t xml:space="preserve">Zbiroh - dostavba objektů účelového zařízení </t>
  </si>
  <si>
    <t xml:space="preserve">Tanvald PS - výstavba </t>
  </si>
  <si>
    <t xml:space="preserve">Hradec Králové PS, Kukleny - výstavba P1 - 2. etapa </t>
  </si>
  <si>
    <t xml:space="preserve">Pardubice CPS - výstavba dílny CHTS </t>
  </si>
  <si>
    <t xml:space="preserve">Přerov CPS - výstavba odsávání výfukových plynů </t>
  </si>
  <si>
    <t xml:space="preserve">Trutnov CPS - výstavba odsávání výfukových plynů </t>
  </si>
  <si>
    <t>Vsetín PS - rekonstrukce centrálního odsávání garáží</t>
  </si>
  <si>
    <t xml:space="preserve">Brno KŘ - výstavba odsávání výfukových plynů </t>
  </si>
  <si>
    <t xml:space="preserve">Olomouc CPS - výstavba odsávání výfukových plynů </t>
  </si>
  <si>
    <t xml:space="preserve">Třebíč CPS - výstavba odsávání výfukových plynů </t>
  </si>
  <si>
    <t xml:space="preserve">Roučmídův mlýn ŠS - výstavba oplocení </t>
  </si>
  <si>
    <t xml:space="preserve">Chomutov PS - rekonstrukce </t>
  </si>
  <si>
    <t xml:space="preserve">Sokolov CPS - rekonstrukce včetně opatření z EA </t>
  </si>
  <si>
    <t xml:space="preserve">Pacov PS - rekonstrukce střechy, věže, brány vjezdu, vrat garáží a odsávání garáží </t>
  </si>
  <si>
    <t>Valašské Klobouky - rekonstrukce školícího zařízení</t>
  </si>
  <si>
    <t xml:space="preserve">Mimoň - rekonstrukce víceúčelového zařízení </t>
  </si>
  <si>
    <t xml:space="preserve">Prostějov CPS - rekonstrukce garáží a ploch </t>
  </si>
  <si>
    <t xml:space="preserve">Klatovy PS - rekonstrukce vrat a přilehlých ploch </t>
  </si>
  <si>
    <t xml:space="preserve">Domažlice PS - rekonstrukce vjezdových vrat </t>
  </si>
  <si>
    <t>Ústí nad Orlicí CPS - rekonstrukce dílny CHTS</t>
  </si>
  <si>
    <t>Liberec CPS - rekonstrukce dílny CHTS</t>
  </si>
  <si>
    <t>Lovosice PS - nová výstavba</t>
  </si>
  <si>
    <t>Kamenice nad Lipou - výstavba nové PS</t>
  </si>
  <si>
    <t xml:space="preserve">Stará Boleslav PS - přístavba </t>
  </si>
  <si>
    <t>Rekonstrukce objektu Legerova</t>
  </si>
  <si>
    <t xml:space="preserve">Chrudim CPS - výstavba dílny CHTS </t>
  </si>
  <si>
    <t xml:space="preserve">Všebořice - výstavba odsávání výfukových plynů </t>
  </si>
  <si>
    <t xml:space="preserve">Hodonín PS - výstavba odsávání výfukových plynů </t>
  </si>
  <si>
    <t>Vyškov CPS - výstavba odsávání výfukových plynů</t>
  </si>
  <si>
    <t xml:space="preserve">Otrokovice PS - výstavba odlučovačů ropných látek </t>
  </si>
  <si>
    <t xml:space="preserve">Valašské Klobouky PS - výstavba odlučovačů ropných látek </t>
  </si>
  <si>
    <t xml:space="preserve">Břeclav CPS - výstavba odlučovačů ropných látek </t>
  </si>
  <si>
    <t xml:space="preserve">Znojmo CPS - výstavba odlučovačů ropných látek </t>
  </si>
  <si>
    <t xml:space="preserve">Hrušovany PS - výstavba odlučovačů ropných látek </t>
  </si>
  <si>
    <t>Vlašim PS - výstavba umýváren vozidel</t>
  </si>
  <si>
    <t>Znojmo CPS - výstavba umývárny vozidel</t>
  </si>
  <si>
    <t xml:space="preserve">Roztoky u Prahy PS - rekonstrukce </t>
  </si>
  <si>
    <t>Strakonice CPS - rekonstrukce</t>
  </si>
  <si>
    <t>Turnov PS - rekonstrukce</t>
  </si>
  <si>
    <t>Náchod CPS - rekonstrukce garáží</t>
  </si>
  <si>
    <t xml:space="preserve">Svitavy CPS - rekonstrukce garáží šaten a soc. zařízení </t>
  </si>
  <si>
    <t xml:space="preserve">Lipnik nad Bečvou PS - rekonstrukce garáží a souvisejících  ploch </t>
  </si>
  <si>
    <t xml:space="preserve">Benešov CPS - rekonstrukce dílny CHTS </t>
  </si>
  <si>
    <t xml:space="preserve">Tišnov PS - rekonstrukce umýváren vozidel </t>
  </si>
  <si>
    <t>Břeclav CPS - rekonstrukce umýváren vozidel</t>
  </si>
  <si>
    <t>Roztoky u Prahy - rekonstrukce ČOV</t>
  </si>
  <si>
    <t xml:space="preserve">FKSP - úpravy pozemku k.ú. Karlov pod Pradědem </t>
  </si>
  <si>
    <t>OUPO BM - rozšíření výcvikové plochy - II.etapa</t>
  </si>
  <si>
    <t xml:space="preserve">Příspěvek - Havlíčkův Brod PS - rekonstrukce cvičné lezecké věže </t>
  </si>
  <si>
    <t>Příspěvek - Jihlava, Březinovy sady - rekonstrukce techn.pracoviště - 2. etapa</t>
  </si>
  <si>
    <t>Nový Jičín HS - úplatný převod objektu</t>
  </si>
  <si>
    <t xml:space="preserve">Příspěvek - Havlíčkův Brod PS - dokončení oplocení areálu Humpolecká 3606 </t>
  </si>
  <si>
    <t xml:space="preserve">FKSP - opravy a údržba nemovitého majetku HZS Olk </t>
  </si>
  <si>
    <t xml:space="preserve">FKSP - opravy a údržba nemovitého majetku -2 rekreační objekty </t>
  </si>
  <si>
    <t>ZL Olomouc - Zbiroh - technologie stlačeného vzduchu</t>
  </si>
  <si>
    <t>Šumburk nad Desnou - výkup pozemku pro stanici Tanvald</t>
  </si>
  <si>
    <t>Kolín, stanice HZS - rekonstrukce výměníkové stanice</t>
  </si>
  <si>
    <t>Frýdek-Místek HS - bleskosvod pro SOPIS</t>
  </si>
  <si>
    <t>Frýdek-Místek HS - rekonstrukce a rozšíření klimatizace SOPIS</t>
  </si>
  <si>
    <t xml:space="preserve">OUPO FM - přístavba cvičné věže objekt č.45 </t>
  </si>
  <si>
    <t>Tišnov ŠS - opatření z EA - 2.etapa</t>
  </si>
  <si>
    <t>OZ OL - rekonstrukce obvodového pláště budovy č.1</t>
  </si>
  <si>
    <t>Brno KŘ - rekonstrukce oplocení - 2.etapa</t>
  </si>
  <si>
    <t>Kladno, stanice HZS - rekonstrukce a nástavba budovy B</t>
  </si>
  <si>
    <t>Bílina PS - vypracování studie stanice</t>
  </si>
  <si>
    <t>TÚPO - rekonstrukce výtahů</t>
  </si>
  <si>
    <t xml:space="preserve">Příspěvek - Ústí nad Labem PS - vybudování předsálí KOPIS </t>
  </si>
  <si>
    <t xml:space="preserve">Hradec Králové CPS - opatření z EA </t>
  </si>
  <si>
    <t>IOO Lázně Bohdaneč - opatření z EA - elektroinstalace 1.část</t>
  </si>
  <si>
    <t>Dvůr Králové nad Labem - výstavba požární stanice P1</t>
  </si>
  <si>
    <t>Liberec CPS - přístavba CHTS</t>
  </si>
  <si>
    <t>Boskovice PS - vybudování mycí plochy - 2.etapa</t>
  </si>
  <si>
    <t>Tišnov PS - rekonstrukce požární stanice</t>
  </si>
  <si>
    <t>IOO Lázně Bohdaneč - objekt 01 - administrativní budova - kamerový systém</t>
  </si>
  <si>
    <t>Periodická obnova základní požární techniky jednotek zařazených do plošného pokrytí</t>
  </si>
  <si>
    <t>e-Government</t>
  </si>
  <si>
    <t>Rozvoj a obnova materiálně-technické základny systému řízení MV</t>
  </si>
  <si>
    <t>Rozvoj a obnova materiálně-technické základny školství, vzdělávání a tělovýchovy</t>
  </si>
  <si>
    <t>Rozvoj a obnova materiálně-technické základny státních archivů</t>
  </si>
  <si>
    <t>Rozvoj a obnova materiálně-technické základny Policie ČR</t>
  </si>
  <si>
    <t xml:space="preserve">Rozvoj a obnova materiálně-technické základny hasičského záchranného sboru </t>
  </si>
  <si>
    <t>214510</t>
  </si>
  <si>
    <t>Rozvoj a obnova systému vládního utajeného spojení</t>
  </si>
  <si>
    <t>214910</t>
  </si>
  <si>
    <t xml:space="preserve">Výstavba informačních a komunikačních systémů a sítí MV </t>
  </si>
  <si>
    <t>Celkem</t>
  </si>
  <si>
    <t>Transfer přijatý z jiných kapitol</t>
  </si>
  <si>
    <t>Transfer předaný do jiných kapitol</t>
  </si>
  <si>
    <t>Celkem (včetně transferů)</t>
  </si>
  <si>
    <t>Výdaje účelově určené na financování programů reprodukce majetku - po organizačních součástech kapitoly MV</t>
  </si>
  <si>
    <t>Organizační součást MV</t>
  </si>
  <si>
    <t>Program</t>
  </si>
  <si>
    <t>Čerpání celkem</t>
  </si>
  <si>
    <t>Policejní prezídium ČR celkem</t>
  </si>
  <si>
    <t xml:space="preserve">Hospodářská správa PP ČR celkem </t>
  </si>
  <si>
    <t>PČR Správa hl. m. Prahy celkem</t>
  </si>
  <si>
    <t>PČR Správa Jihočeského kraje celkem</t>
  </si>
  <si>
    <t>PČR Správa Jihomoravského kraje celkem</t>
  </si>
  <si>
    <t>PČR Správa Severočeského kraje celkem</t>
  </si>
  <si>
    <t>PČR Správa Severomoravského kraje celkem</t>
  </si>
  <si>
    <t>PČR Správa Středočeského kraje celkem</t>
  </si>
  <si>
    <t>SF-EU OPLZZ Rozvoj lids.zdrojů ve st. správě v oblasti prevence kriminality a bezp.</t>
  </si>
  <si>
    <t>SF-EU OPLZZ Vzdělávání specifických složek veřejné správy</t>
  </si>
  <si>
    <t>SF-EU OPLZZ Tvorba multimediálních vzdělávacích programů</t>
  </si>
  <si>
    <t>SF-EU OPLZZ Zvyšování kompetencí a vzdělanosti SUZ MV</t>
  </si>
  <si>
    <t>Celkem z 114070</t>
  </si>
  <si>
    <t>Cisternová automobilová stříkačka</t>
  </si>
  <si>
    <t>Celkem z 114230</t>
  </si>
  <si>
    <t>Metodický pokyn - Řízení kvality ISVS</t>
  </si>
  <si>
    <t>Sdílení dat</t>
  </si>
  <si>
    <t>Metodiky - kryptografické algoritmy</t>
  </si>
  <si>
    <t>Rozvoj ISDP</t>
  </si>
  <si>
    <t>Rozvoj IS o ISVS</t>
  </si>
  <si>
    <t>Správa IS o datových prvcích a správa IS o ISVS</t>
  </si>
  <si>
    <t>CZ.1.06/1.1.00/08.x162I Czech POINT 2008 - centrála</t>
  </si>
  <si>
    <t>Školení administrativních pracovníků Czech Point</t>
  </si>
  <si>
    <t>Zajištění zvýšení bezpečnosti a nových funkcí CZECH POINT</t>
  </si>
  <si>
    <t>MD13  Rozšíření funkčnosti centrály Czech Point ve vztahu k legislativním úpravám</t>
  </si>
  <si>
    <t>CZ.1.06/3.4.00/08.xx209 Centrální místo služeb - Etapa I - 2008</t>
  </si>
  <si>
    <t>S- TESTA</t>
  </si>
  <si>
    <t>CPU</t>
  </si>
  <si>
    <t>CPI (centrální přístup k internetu)</t>
  </si>
  <si>
    <t>Extranet ČR</t>
  </si>
  <si>
    <t>Právní a technické konzultace pro KIVS a CMS</t>
  </si>
  <si>
    <t>Vybudování komunikačního systému</t>
  </si>
  <si>
    <t>Provoz PVS a eLearningu informační část</t>
  </si>
  <si>
    <t>Provoz PVS - transakční část</t>
  </si>
  <si>
    <t>Provoz PVS- Centrální podpora uživatele</t>
  </si>
  <si>
    <t>Provoz PVS - Infrastruktura</t>
  </si>
  <si>
    <t>Provoz PVS - Konektivita</t>
  </si>
  <si>
    <t>Provoz PVS a eLearningu v roce 2008</t>
  </si>
  <si>
    <t>OSS Repository veřejné správy</t>
  </si>
  <si>
    <t>Open source aplikace dokument management systému</t>
  </si>
  <si>
    <t>Interoperabilita</t>
  </si>
  <si>
    <t>Knihovny</t>
  </si>
  <si>
    <t>Bezpečnost</t>
  </si>
  <si>
    <t>Pozáruční servis výpočetní techniky veřejné správy</t>
  </si>
  <si>
    <t>Technická podpora (maintenance) pro software registrů vozidel</t>
  </si>
  <si>
    <t>Zajištění nově požadovaných funkcí a příprava na přechod na pouze centr.systém</t>
  </si>
  <si>
    <t>Biometrika</t>
  </si>
  <si>
    <t>ePasport EAC Konformity and InteroperabilityTests</t>
  </si>
  <si>
    <t>ePassport EAC Conformity and Interoperability Tests - služby zabezp.přípravy, org.a vyhodn.akce</t>
  </si>
  <si>
    <t>ePassport EAC Conformity and Interoperability Tests - pronájem prostor</t>
  </si>
  <si>
    <t>Dodávka HW pro BioLAB MV</t>
  </si>
  <si>
    <t>Služby pro BioLAB MV</t>
  </si>
  <si>
    <t>Dodávka SW pro BioLAB MV</t>
  </si>
  <si>
    <t>Rozvojové dokumenty a související služby informatizace - studie proveditelnosti GIS</t>
  </si>
  <si>
    <t>Analýzy informačních služeb</t>
  </si>
  <si>
    <t>Zabezpečení provozu centrální části aplikačních systémů ePUSA a KEVIS</t>
  </si>
  <si>
    <t>Realizace rozvojových úprav systému ePUSA a KEVIS</t>
  </si>
  <si>
    <t>Celkem z 114410</t>
  </si>
  <si>
    <t>2140117001</t>
  </si>
  <si>
    <t>Pořízení koncových zařízení IT</t>
  </si>
  <si>
    <t>BVs - MRZ</t>
  </si>
  <si>
    <t>KV - MRZ</t>
  </si>
  <si>
    <t>Praha 7 Letná - chráněné pracoviště</t>
  </si>
  <si>
    <t>Celkem z 214010</t>
  </si>
  <si>
    <t>Vybavení PA ČR výpočetní technikou</t>
  </si>
  <si>
    <t>Opravy a údržba movitého majetku - ICT</t>
  </si>
  <si>
    <t>Provozní výdaje na ICT - výkony spojů</t>
  </si>
  <si>
    <t>P1000 MD13 Opravy a údržba nemovitého majetku - Back office 2009</t>
  </si>
  <si>
    <t>P1000 MD13 - Opravy a údržba nemovitého majetku - Back office 2009</t>
  </si>
  <si>
    <t>CZ.1.06/3.4.00/08.xx252 P1000 - OOP Chomutov, T.G.Masaryka 3100</t>
  </si>
  <si>
    <t>P1000 MD13 - OOP Blatná, J.P.Koubka 22 - Back office</t>
  </si>
  <si>
    <t>P1000 MD13 - OOP Větřní čp. 129 - Back office</t>
  </si>
  <si>
    <t>P1000 MD13 - OOP Zvíkovské Podhradí čp. 30 - Back office</t>
  </si>
  <si>
    <t>Ústí nad Labem, Božtěšice - sklad střeliva</t>
  </si>
  <si>
    <t>P1000 MD13 - OOP Rumburk, čp. 406, 487 - Back office</t>
  </si>
  <si>
    <t>P1000 MD13 OOP Teplice, Maršovská 1537 - Back office</t>
  </si>
  <si>
    <t>P1000 MD13 - PČR SJmk Brno, Kounicova 24 - Back office</t>
  </si>
  <si>
    <t>Praha 6, Pelléova 19 - úpravy el. instalace pro technologii VERINT</t>
  </si>
  <si>
    <t>Praha 6, Ruzyně - hangár D  - provozně technická studie</t>
  </si>
  <si>
    <t>P1000 MD13 Kynologické centrum Opava - Kateřinky</t>
  </si>
  <si>
    <t>P1000 MOP Praha 4, Kaplanova 2055 a 2056 - projektová dokumentace</t>
  </si>
  <si>
    <t>P1000 MD13 - OŘP Domažlice, Kosmonautů 165 - Back office 2009</t>
  </si>
  <si>
    <t>P1000 MD13 - OOP Sokolov-venkov, Dobrovského 1936 - Back office 2009</t>
  </si>
  <si>
    <t>CZ.1.06/3.4.00/08.xx252 P1000 - OOP Hustopeče, Husova 1173/7</t>
  </si>
  <si>
    <t>P1000 MD13 OŘP Havlíčkův Brod - strukturovaná kabeláž</t>
  </si>
  <si>
    <t>Prácheň - výkup pozemku</t>
  </si>
  <si>
    <t>FKSP - ÚZ Riviéra, Podhradí nad Dyjí - slaboproud, dodávka a montáž klimatizace</t>
  </si>
  <si>
    <t>P1000 MD13 OŘP Rychnov nad Kněžnou - strukturovaná kabeláž</t>
  </si>
  <si>
    <t>OOP Uherské Hradiště - vybudování telefonní přípojky</t>
  </si>
  <si>
    <t>P1000 MD13 - OOP Tišnov, Majorova 763 - vybudování garáže - Back office</t>
  </si>
  <si>
    <t>P1000 MD13 - OŘP Blansko, Bezručova 31- Back office</t>
  </si>
  <si>
    <t>P1000 - DO Velký Beranov - Back office</t>
  </si>
  <si>
    <t>P1000 MD13 PČR S Jmk Brno, Kounicova 24 - rekonstrukce elektroinstalace - I.etapa</t>
  </si>
  <si>
    <t>P1000 MD13 OŘP Jihlava - půdní vestavba - projektová dokumentace</t>
  </si>
  <si>
    <t>P1000 - ÚOOZ Plzeň, Skrétova 22 - stavební úpravy, opravy a udržování</t>
  </si>
  <si>
    <t>P1000 OŘP Bruntál, Partyzánská 74 - výměna oken - Back office</t>
  </si>
  <si>
    <t>Praha 7, Strojnická 27 - posílení klimatizace Schengenského sálu</t>
  </si>
  <si>
    <t>Praha 7, Strojnická 27 - stavební úpravy pro připojení náhradní zdroje</t>
  </si>
  <si>
    <t>P1000 - OOP Náměšť nad Oslavou - Back office</t>
  </si>
  <si>
    <t>P1000 - OOP Moravské Budějovice - dodání a montáž klima jednotky - Back office</t>
  </si>
  <si>
    <t>P1000 MD13 - OOP Třebíč - dodání a montáž klima jednotky - Back office</t>
  </si>
  <si>
    <t>P1000 - OOP Protivín, čp. 166 - Back office</t>
  </si>
  <si>
    <t>P1000 - OOP Valašské Meziříčí - Back office</t>
  </si>
  <si>
    <t>P1000 - OOP Mikulov - vybudování místnosti pro zadržené - Back office</t>
  </si>
  <si>
    <t>P1000 MD13 - Opravy a údržba nemovitého majetku - Back office 2007</t>
  </si>
  <si>
    <t>OOP Nová Role - výkup pozemku</t>
  </si>
  <si>
    <t>P1000 - OŘP Hodonín - zřízení místnosti pro plynové spotřebiče - Back office</t>
  </si>
  <si>
    <t>P1000 MD13 - OOP Přerov, Čapka Drahlovského 2342 - výtah, vjezdová brána</t>
  </si>
  <si>
    <t>OOP Obrnice - výkup areálu</t>
  </si>
  <si>
    <t>P1000 MD13 - Praha 6, Pelleova 21 - Back office</t>
  </si>
  <si>
    <t>Objekt PČR Červený Hrádek - zásobování vodou</t>
  </si>
  <si>
    <t>P1000 MD13 - PČR S Jmk Brno, Kounicova 24 - klimatizační jednotky na OKTE</t>
  </si>
  <si>
    <t>P1000 MD13 - Praha 4, Kongresová 2/1666 - vybavení cel technikou CCTV</t>
  </si>
  <si>
    <t>Rekonstrukce vnitřních rozvodů vody, objekt D - 1. etapa</t>
  </si>
  <si>
    <t>Rekonstrukce sociálního zařízení, 3. patro, objekt A1</t>
  </si>
  <si>
    <t>Kinosál - Opatovice</t>
  </si>
  <si>
    <t>Rekonstrukce služební ubytovny - Opatovice</t>
  </si>
  <si>
    <t>Konvektomat plynový</t>
  </si>
  <si>
    <t>Výukový model AMBU Man</t>
  </si>
  <si>
    <t>Rekonstrukce objektů E,F,V,C - projektová dokumentace</t>
  </si>
  <si>
    <t>Rekonstrukce budovy A1 - 12. patro</t>
  </si>
  <si>
    <t>Projektová dokumentace k zateplení a výměně oken</t>
  </si>
  <si>
    <t>Budova A1, 13. patro - strukturovaná kabeláž</t>
  </si>
  <si>
    <t>Instalace okenních žaluzií - objekt J</t>
  </si>
  <si>
    <t>Digitální kopírovací stroj</t>
  </si>
  <si>
    <t>Vysokotlaké čistící zařízení - II.</t>
  </si>
  <si>
    <t>Gastro zařízení</t>
  </si>
  <si>
    <t>Výtah ve vzdělávacím středisku Benešov</t>
  </si>
  <si>
    <t>Institut pro místní správu Praha</t>
  </si>
  <si>
    <t>Výměna dopravních prostředků</t>
  </si>
  <si>
    <t>Nouzové osvětlení ve vzdělávacím středisku Benešov</t>
  </si>
  <si>
    <t>Praha 7, Stromovka - výměna oken v hl. budově</t>
  </si>
  <si>
    <t>Jablonec n. N. - rekonstrukce výměníku na plynovou kotelnu</t>
  </si>
  <si>
    <t>Břízky, biatlonový areál - kanalizace s přečerpávací stanicí</t>
  </si>
  <si>
    <t>Nákup kancelářské techniky</t>
  </si>
  <si>
    <t>Praha 7, Stromovka - nafukovací hala</t>
  </si>
  <si>
    <t>Výměna vnějších oken v objektu J</t>
  </si>
  <si>
    <t>Oprava ÚT blok E,F</t>
  </si>
  <si>
    <t>Rekonstrukce centrální plynové kotelny</t>
  </si>
  <si>
    <t>Energetický audit - Stromovka - vzpěračská a atletická hala</t>
  </si>
  <si>
    <t>Energetický audit</t>
  </si>
  <si>
    <t>Celkem z 214020</t>
  </si>
  <si>
    <t>Projekt pracoviště dlouhodobého uchovávání el.dokumentů</t>
  </si>
  <si>
    <t>Oprava a údržba - informační a komunikační technologie</t>
  </si>
  <si>
    <t>Provozní výdaje ICT (spotřební materiály), movitý majetek</t>
  </si>
  <si>
    <t>Provozní výdaje ICT - školení</t>
  </si>
  <si>
    <t>Provozní výdaje ICT</t>
  </si>
  <si>
    <t>Státní oblastní archiv v Praze</t>
  </si>
  <si>
    <t>EPS, EZS, kamerový systém</t>
  </si>
  <si>
    <t>Státní oblastní archiv v Třeboni</t>
  </si>
  <si>
    <t>Nákup ICT pro SOA v Třeboni</t>
  </si>
  <si>
    <t>Tabulka č. 19</t>
  </si>
  <si>
    <t>Výkaz o nárocích z nespotřebovaných výdajů za kapitolu celkem</t>
  </si>
  <si>
    <t>Období:12/2008</t>
  </si>
  <si>
    <t>Za skutečnost: OÚS MV</t>
  </si>
  <si>
    <t>Za rozpočet a nároky: EO MV</t>
  </si>
  <si>
    <t>Datum: 24. února 2009</t>
  </si>
  <si>
    <t>Výkaz o nárocích z nespotřebovaných výdajů za kapitolku celkem, část II.</t>
  </si>
  <si>
    <t>Dětské sportovní hřiště Habartov - III. etapa - hrací kout košíková</t>
  </si>
  <si>
    <t>Stabilní kamerový bod</t>
  </si>
  <si>
    <t>Výstavba plácku pro skate hřiště ve Šlapanicích</t>
  </si>
  <si>
    <t>Rozšíření kamerového systému ve městě Hlučíně</t>
  </si>
  <si>
    <t>Městský kamerový dohlížecí systém pro město Litomyšl - II. etapa</t>
  </si>
  <si>
    <t>Rozšíření kamerového systému - etapa VII</t>
  </si>
  <si>
    <t>Oplocení dětského hřiště Náměstí TGM</t>
  </si>
  <si>
    <t>Osvětlení dětského hřiště Náměstí TGM</t>
  </si>
  <si>
    <t>Kamerový systém ve Vrchlického sadech</t>
  </si>
  <si>
    <t>Připojení MŠ a ZŠ na PCO</t>
  </si>
  <si>
    <t>Digitalizace monitorovacího pracoviště Městské policie a pracoviště PČR</t>
  </si>
  <si>
    <t>Zvýšení efektivity Městského kamerového systému jeho rozšířením</t>
  </si>
  <si>
    <t>Mobilní kamerový systém Kuřim</t>
  </si>
  <si>
    <t>Systém včasné intervence</t>
  </si>
  <si>
    <t>Kamera Dome Pelco</t>
  </si>
  <si>
    <t>Skatepark Uherský Ostroh</t>
  </si>
  <si>
    <t>Skate parkem proti kriminalitě</t>
  </si>
  <si>
    <t>Rozšíření městského kamerového a dohlížecího  systému</t>
  </si>
  <si>
    <t>Osvětlení zákoutí Mlýnská</t>
  </si>
  <si>
    <t>Rozšíření MKDS - etapa 2008</t>
  </si>
  <si>
    <t>Osvětlení rizikových míst na Praze 6 - Bořislavka</t>
  </si>
  <si>
    <t>Osvětlení parkovišť a ulic v rizikových lokalitách</t>
  </si>
  <si>
    <t>Frenštát pod Radhoštěm "Zřízení městského kamerového dohlížecího systému"</t>
  </si>
  <si>
    <t>Osvětlení rizikových míst - podchody</t>
  </si>
  <si>
    <t>Rozšíření MKDS Neštěmice</t>
  </si>
  <si>
    <t>Kamerový dohlížecí systém Tanvald, Desná, Kořenov, Smržovka - 3. etapa</t>
  </si>
  <si>
    <t>Frenštát pod Radhoštěm - "Osvětlení rizikových míst"</t>
  </si>
  <si>
    <t>Přisvětlení parku Dobeška</t>
  </si>
  <si>
    <t>Rozšíření MKMS města Holešova včetně integrace bezpečnostních systémů</t>
  </si>
  <si>
    <t>114051R001</t>
  </si>
  <si>
    <t>Projekty v oblasti prevence kriminality, poř. majetku</t>
  </si>
  <si>
    <t>Celkem z 114050</t>
  </si>
  <si>
    <t>EUF2007-11 - Skatepark jako jedna z forem využití volného času mladých žadatelů</t>
  </si>
  <si>
    <t>EUF2007-12 - Integrační centrum a rozvoj vzdělávacích a volnočasových aktivit dětí</t>
  </si>
  <si>
    <t>EUF2007-13 - Úpravy areálu "Na Penaltě" - rozšíření možností volnočasových aktivit</t>
  </si>
  <si>
    <t>Celkem z 114060</t>
  </si>
  <si>
    <t>SF-EU CMS - II. etapa</t>
  </si>
  <si>
    <t>SF-EU Rozvoj PVS - informační část</t>
  </si>
  <si>
    <t>SF-EU Rozvoj PVS - transakční část</t>
  </si>
  <si>
    <t>SF-EU Centrální registry</t>
  </si>
  <si>
    <t>SF-EU System správních evidencí</t>
  </si>
  <si>
    <t>SF-EU Interoperabilita a standartizace ICT vybavení v krajích a obcích</t>
  </si>
  <si>
    <t>SF-EU Veřejné informační služby města a  obcí</t>
  </si>
  <si>
    <t>BVs - SF EU</t>
  </si>
  <si>
    <t>SF-EU Vytvoření projektové kanceláře pro projekty e goverment v území</t>
  </si>
  <si>
    <t>SF-EU - prevence a řešení rizik, bezpečnost</t>
  </si>
  <si>
    <t>SF-EU P1000 Širokopásmové sítě</t>
  </si>
  <si>
    <t>SF-EU P1000 - Agregace nerozděleno v rámci IOP</t>
  </si>
  <si>
    <t>SF-EU Národní digitální archiv 2008</t>
  </si>
  <si>
    <t>SF-EU OPLZZ Výzkum fungování malých obcí v ČR a kvalita života jejich obyvatel</t>
  </si>
  <si>
    <t>SF-EU OPLZZ Zvýšení vzdělanosti a tím kompetence a produktivity pracovníků OAMP</t>
  </si>
  <si>
    <t>SF-EU OPLZZ Nezávislé procesní a organ.audity nejvýzn.agend státní správy</t>
  </si>
  <si>
    <t>SF-EU OPLZZ Zavedení EFQM na MV</t>
  </si>
  <si>
    <t>SF-EU OPLZZ Vytvoření datab.programu ke sledování vývoje adm.zátěže podnikatelů</t>
  </si>
  <si>
    <t>SF-EU OPLZZ Realizace opatření ke snížení nadb.regulace a byrokratické zátěže</t>
  </si>
  <si>
    <t>Mobilní čerpací stanice PHM</t>
  </si>
  <si>
    <t>Odčerpávací těsnící vak s příslušenstvím</t>
  </si>
  <si>
    <t>Kontejnery na nebezpečný odpad</t>
  </si>
  <si>
    <t>Myčky na chemické obleky</t>
  </si>
  <si>
    <t>Měřící zařízení pro dýchací přístroje</t>
  </si>
  <si>
    <t>Stabilizační sada</t>
  </si>
  <si>
    <t>PU - Laserový měřič vzdálenosti</t>
  </si>
  <si>
    <t>PU - Dálkový termometr</t>
  </si>
  <si>
    <t>PU - Elektrocentrála</t>
  </si>
  <si>
    <t>ATR nástavec pro infračervený spektrometr</t>
  </si>
  <si>
    <t xml:space="preserve">Dovybavení týlového kontejneru </t>
  </si>
  <si>
    <t>Nákladní přívěs</t>
  </si>
  <si>
    <t>Prapor</t>
  </si>
  <si>
    <t>Domečky pro požární sport</t>
  </si>
  <si>
    <t>Technické prostředky k dovybavení CAS</t>
  </si>
  <si>
    <t>Komplex stanů ubytovacích</t>
  </si>
  <si>
    <t>Mobilní zdroj elektrické energie</t>
  </si>
  <si>
    <t>Manipulační technika</t>
  </si>
  <si>
    <t>Automobilní technika GŘ HZS ČR III</t>
  </si>
  <si>
    <t>Nákup nového vozidla</t>
  </si>
  <si>
    <t>Fototechnika</t>
  </si>
  <si>
    <t>Stanové zázemí</t>
  </si>
  <si>
    <t>Technické prostředky logistického zabezpečení</t>
  </si>
  <si>
    <t>Automobilová plošina</t>
  </si>
  <si>
    <t>Dodávkový automobil</t>
  </si>
  <si>
    <t>Termokamery</t>
  </si>
  <si>
    <t>Nákladní automobil</t>
  </si>
  <si>
    <t>Automobil osobní</t>
  </si>
  <si>
    <t>Automobilová technika</t>
  </si>
  <si>
    <t>Technický automobil</t>
  </si>
  <si>
    <t>Dodávkové automobily</t>
  </si>
  <si>
    <t>Nákladní automobil kategorie N1</t>
  </si>
  <si>
    <t>Velitelský, vyšetřovací a užitkový automobil</t>
  </si>
  <si>
    <t>Automobil Suzuki Jimmi</t>
  </si>
  <si>
    <t>Automobil Renault Kangoo</t>
  </si>
  <si>
    <t>Nosič kontejnerů</t>
  </si>
  <si>
    <t>Vozový park HZS MSK</t>
  </si>
  <si>
    <t>Stroje a zařízení HZS MSK</t>
  </si>
  <si>
    <t>Automobil nákladní</t>
  </si>
  <si>
    <t>Terénní automobil 4x4</t>
  </si>
  <si>
    <t xml:space="preserve">Osobní automobily </t>
  </si>
  <si>
    <t xml:space="preserve">Příspěvek - Pračka a sušička OOP </t>
  </si>
  <si>
    <t>Automobilní technika GŘ HZS ČR IV</t>
  </si>
  <si>
    <t>Malotraktor II</t>
  </si>
  <si>
    <t xml:space="preserve">Moravskoslezský kraj - Integrované bezpečnostní centrum MSK </t>
  </si>
  <si>
    <t>Lhotka, okr. Frýdek-Místek - stavební úpravy hasičské zbrojnice</t>
  </si>
  <si>
    <t>Dotace obcím - Požární technika</t>
  </si>
  <si>
    <t>Dotace obcím - Výstavba prvků varování a vyrozumění</t>
  </si>
  <si>
    <t>Seč, okr. Chrudim - cisternová automobilová stříkačka</t>
  </si>
  <si>
    <t>Město Jablonné nad  Orlicí, okr. Ústí nad  Orlicí - cisternová automobilová stříkačka</t>
  </si>
  <si>
    <t>Nový Bydžov, okr. Hradec Králové - cisternová automobilová stříkačka</t>
  </si>
  <si>
    <t>Hluk, okr. Uherské Hradiště - cisternová automobilová stříkačka</t>
  </si>
  <si>
    <t>Jirkov, okr. Chomutov  - cisternová automobilová stříkačka</t>
  </si>
  <si>
    <t>Klobouky u Brna, okr. Břeclav - cisternová automobilová stříkačka</t>
  </si>
  <si>
    <t>Chodov, okr. Sokolov - cisternová automobilová stříkačka</t>
  </si>
  <si>
    <t>Luby, okr. Cheb - cisternová automobilová stříkačka</t>
  </si>
  <si>
    <t>Moravský Beroun, okr. Olomouc - cisternová automobilová stříkačka</t>
  </si>
  <si>
    <t xml:space="preserve">Pernink - cisternová automobilová stříkačka </t>
  </si>
  <si>
    <t>Město Spálené Poříčí, okr. Plzeň-jih - cisternová automobilová stříkačka</t>
  </si>
  <si>
    <t>Krumvíř, okr. Břeclav - cisternová automobilová stříkačka</t>
  </si>
  <si>
    <t>Město Vratimov, okr. Ostrava-město - cisternová automobilová stříkačka</t>
  </si>
  <si>
    <t>Ostrov, okr. Karlovy Vary - cisternová automobilová stříkačka</t>
  </si>
  <si>
    <t>Prachovice, okr. Chrudim - cisternová automobilová stříkačka</t>
  </si>
  <si>
    <t>Hlavní město Praha, MČ Praha 12 - nákup CAS</t>
  </si>
  <si>
    <t>Těrlicko, okr. Karviná - cisternová automobilová stříkačka</t>
  </si>
  <si>
    <t>Plzeň-Skvrňany, okr. Plzeň-město - cisternová automobilová stříkačka</t>
  </si>
  <si>
    <t>Bor, okr. Tachov - cisternová automobilová stříkačka</t>
  </si>
  <si>
    <t>Lhenice, okr. Prachatice - cisternová automobilová stříkačka</t>
  </si>
  <si>
    <t>Mirošov, okr. Rokycany - cisternová automobilová stříkačka</t>
  </si>
  <si>
    <t>Ostrov nad Oslavou, okr. Žďár nad Sázavou - cisternová automobilová stříkačka</t>
  </si>
  <si>
    <t>Město Slušovice, okr. Zlín - cisternová automobilová stříkačka</t>
  </si>
  <si>
    <t>Provozní výdaje na ICT - spotřební materiály</t>
  </si>
  <si>
    <t>Školení</t>
  </si>
  <si>
    <t>Modernizace sítě LAN</t>
  </si>
  <si>
    <t>VPŠ MV v Brně</t>
  </si>
  <si>
    <t>Modernizace stravovacího systému</t>
  </si>
  <si>
    <t>Docházkový a přístupový systém</t>
  </si>
  <si>
    <t>Pořízení audiovizuální techniky</t>
  </si>
  <si>
    <t>Pořízení výpočetní techniky</t>
  </si>
  <si>
    <t>Pořízení spojovací techniky</t>
  </si>
  <si>
    <t xml:space="preserve">Provozní výdaje na ICT - pronájem za telek. vedení a výkony spojů </t>
  </si>
  <si>
    <t>Provozní výdaje na ICT (spotřební materiály) a na Movitý majetek</t>
  </si>
  <si>
    <t>Oprava a údržba movitého majetku ICT</t>
  </si>
  <si>
    <t>Nákup VT</t>
  </si>
  <si>
    <t>VPŠ a SPŠ MV v Holešově</t>
  </si>
  <si>
    <t>Nákup spojovací a nástrahové techniky</t>
  </si>
  <si>
    <t>Oopravy a údržba ICT</t>
  </si>
  <si>
    <t>Provozní výdaje ICT - výkony spojů</t>
  </si>
  <si>
    <t>Provozní výdaje ICT - spotřební materiál, software</t>
  </si>
  <si>
    <t>Nákup serveru a jeho instalace</t>
  </si>
  <si>
    <t>VPŠ MV v Jihlavě</t>
  </si>
  <si>
    <t>Spotřební materiály ICT a na movitý majetek ICT</t>
  </si>
  <si>
    <t>Oprava a údržba movitého majetku - Informační a komunikační technologie</t>
  </si>
  <si>
    <t>Provozní výdaje na ICT - pronájem za telekomunikační vedení a výkony spojů</t>
  </si>
  <si>
    <t>Koncová zařízení ICT</t>
  </si>
  <si>
    <t>Oprava a údržba ICT</t>
  </si>
  <si>
    <t>VPŠ MV v Pardubicích</t>
  </si>
  <si>
    <t>Provozní výdaje na ICT</t>
  </si>
  <si>
    <t>Obnova serverových počítačů a sítě</t>
  </si>
  <si>
    <t>Výpočetní technika</t>
  </si>
  <si>
    <t>Zařízení pro úpravu a ukládání digitálních fotografií</t>
  </si>
  <si>
    <t>Koncová zařízení</t>
  </si>
  <si>
    <t>Obslužná elektrická zařízení</t>
  </si>
  <si>
    <t>Vrtulníky střední hmotnostní kategorie v zásahové a záchranné verzi Bell 412 EP</t>
  </si>
  <si>
    <t>OOP Ústí nad Labem , Lovecká 435/10 - plynofikace objektu</t>
  </si>
  <si>
    <t>OOP Teplice , Husitská 708/5 - plynofikace objektu</t>
  </si>
  <si>
    <t>OOP Chrastava - plynofikace objektu</t>
  </si>
  <si>
    <t>P1000 MD13 - OOP Zbraslavice - výměna kotle</t>
  </si>
  <si>
    <t>P1000 MD13 - OO PČR Řevnice - odstranění závad dle EA</t>
  </si>
  <si>
    <t>FKSP - RZ Kvilda - odstranění závad zjištěných EA</t>
  </si>
  <si>
    <t>Praha 4, Durychova 671/40 - odstranění závad z EA</t>
  </si>
  <si>
    <t>P1000 MD13 PČR ICP Dolní Dvořiště - odstranění závad dle EA</t>
  </si>
  <si>
    <t>P1000 MD13 OOP Týn nad Vltavou - odstranění závad dle EA</t>
  </si>
  <si>
    <t>P1000 MD13 Praha 9, Náchodská 618/2032 - odstranění závad dle EA</t>
  </si>
  <si>
    <t>P1000 MD13 MOP Praha 4, Milevská 875/4 - odstranění závad dle EA</t>
  </si>
  <si>
    <t>P1000 MD13 - OOP Česká Skalice, Pivovarská 54 - odstranění závad dle EA</t>
  </si>
  <si>
    <t>P1000 - MŘP Brno - město, Cejl 4/6 - Back office 2007 - TRV</t>
  </si>
  <si>
    <t>P1000 - OOP Brno, ul. Veveří - Back office 2007 - TRV</t>
  </si>
  <si>
    <t>P1000 - OŘP, OOP Hodonín, Velkomoravská 14,16 - Back office 2007 - TRV</t>
  </si>
  <si>
    <t>SF-EU OPŽP P1000 Příprava podkladů a vyplnění žádosti o dotaci</t>
  </si>
  <si>
    <t>Celkem z 214110</t>
  </si>
  <si>
    <t>Provoz TCTV 112</t>
  </si>
  <si>
    <t>Opravy a údržba movitého majetku - informační a komunikační technologie</t>
  </si>
  <si>
    <t xml:space="preserve">Pronájem  telekomunikačních služeb </t>
  </si>
  <si>
    <t>Kmitočtové spektrum</t>
  </si>
  <si>
    <t>Pořízení spotřebního materiálu</t>
  </si>
  <si>
    <t>Pořízení majetku</t>
  </si>
  <si>
    <t>Školení ICT</t>
  </si>
  <si>
    <t>Obnova PC pro EZS a EPS</t>
  </si>
  <si>
    <t>Řídící a distribuční systém signálu v rámci OPIS</t>
  </si>
  <si>
    <t>Aktivní prvky počítačové síťe pro OPIS</t>
  </si>
  <si>
    <t>Záznamové zařízení pro OPIS</t>
  </si>
  <si>
    <t>WIFI síť</t>
  </si>
  <si>
    <t>Monitorování průniku nebezpečných látek II.etapa</t>
  </si>
  <si>
    <t>SW modul příjmu dat z JSDI</t>
  </si>
  <si>
    <t>Obnova  videokonferenčního systému</t>
  </si>
  <si>
    <t>SOkA Kroměříž-úprava MaR pro chlazení</t>
  </si>
  <si>
    <t>Výkup bývalého augustiánského kláštera v Třeboni</t>
  </si>
  <si>
    <t>Oprava a údržba - movitý majetek</t>
  </si>
  <si>
    <t>Regály a mapovnice</t>
  </si>
  <si>
    <t>Reprografická a fotografická technika</t>
  </si>
  <si>
    <t>Vybavení místností pro restaurování a reprografii archiválií</t>
  </si>
  <si>
    <t>Laboratorní technika - vakuový lis</t>
  </si>
  <si>
    <t>Regály, mapovnice</t>
  </si>
  <si>
    <t>Dopravní technika</t>
  </si>
  <si>
    <t>Laboratorní technika - restaurátorská dílna</t>
  </si>
  <si>
    <t>Přístroje, zařízení badatelny - čtečky</t>
  </si>
  <si>
    <t>Přístroje, zařízení depozitáře - odvlhčovače</t>
  </si>
  <si>
    <t>správcem kapitoly a jím zřízenými OSS a příspěvkovými organizacemi se stavem k 31. 12. 2008</t>
  </si>
  <si>
    <t>Poštovní a internetový server</t>
  </si>
  <si>
    <t>Pořízení STA pro příjem digitální televize</t>
  </si>
  <si>
    <t>Pořízení web serveru</t>
  </si>
  <si>
    <t>Server a UPS</t>
  </si>
  <si>
    <t>Pevný radiový terminál</t>
  </si>
  <si>
    <t>Datová a telefonní síť</t>
  </si>
  <si>
    <t>SW dohled CZ</t>
  </si>
  <si>
    <t>Základnová rdst DAU Casium</t>
  </si>
  <si>
    <t>Tester anténních systémů</t>
  </si>
  <si>
    <t>Master a záložní master</t>
  </si>
  <si>
    <t>Odolný notebook</t>
  </si>
  <si>
    <t>Řídící technologie Master</t>
  </si>
  <si>
    <t>SW ArcGIS Desktop ArcInfo pro GIS</t>
  </si>
  <si>
    <t>GPS pro verifikaci dat Trimble Recon pro GIS</t>
  </si>
  <si>
    <t>Upgrade technologie OPIS</t>
  </si>
  <si>
    <t>Těžký klient GIS pro OPIS</t>
  </si>
  <si>
    <t>Vozidlové terminály Pegas</t>
  </si>
  <si>
    <t>Upgrade SW OPIS</t>
  </si>
  <si>
    <t>Implementace rádiové sítě ÚO do technologie KOPIS</t>
  </si>
  <si>
    <t>Rozšíření technologie KOPIS, implementace radiové sítě ÚO</t>
  </si>
  <si>
    <t>Technologický a E-mail server</t>
  </si>
  <si>
    <t>Switche CISCO</t>
  </si>
  <si>
    <t>UPS pro KOPIS</t>
  </si>
  <si>
    <t xml:space="preserve">Multifunkční zařízení </t>
  </si>
  <si>
    <t>Server pro KOPIS</t>
  </si>
  <si>
    <t>Servery pro KOPIS</t>
  </si>
  <si>
    <t xml:space="preserve">Technologie KOPIS HW </t>
  </si>
  <si>
    <t>Síťová multifunkční tiskárna</t>
  </si>
  <si>
    <t>Upgrade TÚ Alcatel</t>
  </si>
  <si>
    <t>Středočeský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</si>
  <si>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</si>
  <si>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</si>
  <si>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</si>
  <si>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</si>
  <si>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</si>
  <si>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</si>
  <si>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</si>
  <si>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</si>
  <si>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</si>
  <si>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Zlínský</t>
  </si>
  <si>
    <t>Olomoucký</t>
  </si>
  <si>
    <t>Moravskoslezský</t>
  </si>
  <si>
    <t>Celkem HZS krajů</t>
  </si>
  <si>
    <t>CELKEM</t>
  </si>
  <si>
    <t>Vypracoval: Ing. Petrák, tel. 974 849 806</t>
  </si>
  <si>
    <t>Tabulka č. 15</t>
  </si>
  <si>
    <t>SOŠ PO a VOŠ PO F-M</t>
  </si>
  <si>
    <t>Tabulka č. 12</t>
  </si>
  <si>
    <t>Vypracoval : Štěpánek, tel. 974 849 205</t>
  </si>
  <si>
    <t>Kontroloval: Ing. Šolta, tel. 974 849 818</t>
  </si>
  <si>
    <t>Vypracoval : Štěpánek                                      Kontroloval: Ing. Šolta</t>
  </si>
  <si>
    <t>Datum: 18. února 2009</t>
  </si>
  <si>
    <t>Vypracoval: Ing. Šolta, tel. 974 849 818</t>
  </si>
  <si>
    <t>Kontroloval: Štěpánek, 974 849 205</t>
  </si>
  <si>
    <t>Karlovarský kraj</t>
  </si>
  <si>
    <t>Í</t>
  </si>
  <si>
    <t>HS  PP ČR</t>
  </si>
  <si>
    <t>Státní oblastní archiv
v Zámrsku</t>
  </si>
  <si>
    <t>Ústecký kraj</t>
  </si>
  <si>
    <t>P ČR Správa hl.m. Prahy</t>
  </si>
  <si>
    <t>Moravský zemský archiv
v Brně</t>
  </si>
  <si>
    <t>Liberecký kraj</t>
  </si>
  <si>
    <t>POLICEJNÍ AKADEMIE ČR</t>
  </si>
  <si>
    <t>ZAŘÍZENÍ SLUŽEB  pro MV</t>
  </si>
  <si>
    <t>3/</t>
  </si>
  <si>
    <t>P ČR Správa Středočeského kraje</t>
  </si>
  <si>
    <t>L</t>
  </si>
  <si>
    <t>Zemský archiv v Opavě</t>
  </si>
  <si>
    <t>Královéhradecký kraj</t>
  </si>
  <si>
    <t>O</t>
  </si>
  <si>
    <t>Centrální místo služeb - I. etapa - 2007</t>
  </si>
  <si>
    <t>Komunikační napojení centra Schwandorf</t>
  </si>
  <si>
    <t>Pozáruční servis přenosových a dohledových systémů</t>
  </si>
  <si>
    <t>Pozáruční servis systémů PBX v resortu MV</t>
  </si>
  <si>
    <t>Oprava a údržba vlastní kabelové sítě</t>
  </si>
  <si>
    <t>Servis a opravy přenosových zařízení</t>
  </si>
  <si>
    <t>Servis mikrovlnných spojů v resortu MV</t>
  </si>
  <si>
    <t>Pozáruční servis pro rezortní optickou přenosovou síť</t>
  </si>
  <si>
    <t>Školení specialistů</t>
  </si>
  <si>
    <t>Rozšíření páteřní optické sítě</t>
  </si>
  <si>
    <t>Upgrade hlasové sítě - I. etapa</t>
  </si>
  <si>
    <t>Napojení OŘ PČR rrl spojem - I. etapa</t>
  </si>
  <si>
    <t>PEU - Předsednictví v Radě EU - výkony spojů</t>
  </si>
  <si>
    <t>Pronájem za telekomunikační vedení</t>
  </si>
  <si>
    <t>Opravy a údržba pneumatické ochrany kabelů</t>
  </si>
  <si>
    <t>Opravy přenosových a dohledových systémů v resortu MV</t>
  </si>
  <si>
    <t>Opravy poruch systému Dispečer - Maják 158</t>
  </si>
  <si>
    <t>Digitalizace podkladů pro ochranné pásmo MW spojů</t>
  </si>
  <si>
    <t>Opravy AKU PBX</t>
  </si>
  <si>
    <t>Centrální místo služeb</t>
  </si>
  <si>
    <t>Zajištění provozuschopnosti komponentů datové infrastruktury MV</t>
  </si>
  <si>
    <t>PEU - mobilní šifrátory</t>
  </si>
  <si>
    <t>Propojení Internet - Intranet</t>
  </si>
  <si>
    <t>Posílení napájecích zdrojů</t>
  </si>
  <si>
    <t>Stavební připravenost pro instalaci technologie CMS - Olšanská 4, Praha 3</t>
  </si>
  <si>
    <t>Servisní podpora systému elektronické služby</t>
  </si>
  <si>
    <t>Opravy a údržba radiokomunikačního systému PEGAS</t>
  </si>
  <si>
    <t>Radiokomunikační systém Pegas - bezpečnostní projekt</t>
  </si>
  <si>
    <t>Školení Pegas</t>
  </si>
  <si>
    <t>Pegas - implementace systémové verze 35.07 a rozšíření pokrytí</t>
  </si>
  <si>
    <t>Obměna technologie výukového pracoviště Pegas</t>
  </si>
  <si>
    <t>Koncová zařízení Pegas pro SCPP</t>
  </si>
  <si>
    <t>Platby za využívání kmitočtů</t>
  </si>
  <si>
    <t>Oprava a údržba RK systému Pegas mimo smlouvu na pozáruční servis</t>
  </si>
  <si>
    <t>Bezpečnostní projekt PEGAS - napájecí zdroje</t>
  </si>
  <si>
    <t>PEGAS - optimalizace systému I. etapa</t>
  </si>
  <si>
    <t>Vybavení pracoviště pro územní a rádiové plánování</t>
  </si>
  <si>
    <t>Analytická aplikace pro síť PEGAS</t>
  </si>
  <si>
    <t>Upgrade programového vybavení datového portálu Pegas</t>
  </si>
  <si>
    <t>Programové vybavení pro dotazy do databáze mobil.telefonů prostřednictvím sítě PEGAS</t>
  </si>
  <si>
    <t>SOkA Vsetín - nákup pozemku</t>
  </si>
  <si>
    <t>Rekonstrukce Karnoly Krnov na státní archiv II. etapa</t>
  </si>
  <si>
    <t>Zabezpečení statiky nosné konstrukce SOkA F. Místek</t>
  </si>
  <si>
    <t>Vybudování přípojky elektro - SOkA N. Jičín</t>
  </si>
  <si>
    <t>Adaptace objektu Kasárna pod Radobýlem na archiv (získaného od armády)</t>
  </si>
  <si>
    <t>SOkA Příbram - mříže</t>
  </si>
  <si>
    <t>Klimatizace místnosti serveru v budově SOkA Č. Budějiovice</t>
  </si>
  <si>
    <t>MZA Brno - Kompenzační rozvadeče</t>
  </si>
  <si>
    <t>BETA - Aplikace IP kryptografických prostředků v resortu MV</t>
  </si>
  <si>
    <t>Poskytování a využívání informací</t>
  </si>
  <si>
    <t>Technická podpora pro UPS</t>
  </si>
  <si>
    <t>IISSDE - podpora komunikačních prvků CVS</t>
  </si>
  <si>
    <t>Elektronická spisová služba MV ČR</t>
  </si>
  <si>
    <t>Pronájem licence SUN JAVA</t>
  </si>
  <si>
    <t>IISSDE - podpora serverů SUN v území</t>
  </si>
  <si>
    <t>Opravy a údržba AFIS, EURODAC</t>
  </si>
  <si>
    <t>Nákup SW produktů - centrální úroveň</t>
  </si>
  <si>
    <t>Rozvoj kontrolního systému resortu - etapa 2007</t>
  </si>
  <si>
    <t>Servis pro zálohovací zařízení AFIS</t>
  </si>
  <si>
    <t>Dokončení centrální Web aplikace správních evidencí</t>
  </si>
  <si>
    <t>Poskytování technické podpory pro fulltextové technologie</t>
  </si>
  <si>
    <t>Podpora SUN v centru</t>
  </si>
  <si>
    <t>Podpora Informix</t>
  </si>
  <si>
    <t>Podpora diskových polí</t>
  </si>
  <si>
    <t>Opravy a údržba kryptografických prostředků</t>
  </si>
  <si>
    <t>Údržba a aktualizace SW - centrální úroveň</t>
  </si>
  <si>
    <t>Rozvoj informačních systémů PČR</t>
  </si>
  <si>
    <t>Platby za externí zdroje informací</t>
  </si>
  <si>
    <t>Opravy a údržba informačních technologií IISSDE (CVS)</t>
  </si>
  <si>
    <t>Konsolidace IT infrastruktury MV</t>
  </si>
  <si>
    <t>Identity Management</t>
  </si>
  <si>
    <t>Čtečka s tiskem</t>
  </si>
  <si>
    <t>Sekačky, frézy, úklidová technika</t>
  </si>
  <si>
    <t>SOkA Kladno - regály Slaný</t>
  </si>
  <si>
    <t>Osobní automobil</t>
  </si>
  <si>
    <t>Odvlhčovače</t>
  </si>
  <si>
    <t>Užitkový automobil</t>
  </si>
  <si>
    <t>Celkem z 214030</t>
  </si>
  <si>
    <t>Národní vízový informační systém ČR</t>
  </si>
  <si>
    <t>Národní schengenský informační systém ČR</t>
  </si>
  <si>
    <t>Webový klient řídícího a komunikačního systému Dispečer - Maják 158</t>
  </si>
  <si>
    <t>P1000 - Informační systém pro trestní řízení - úvodní studie</t>
  </si>
  <si>
    <t>Výdaje HZS celkem a detail dle jednotlivých HZS krajů v roce 2008</t>
  </si>
  <si>
    <t xml:space="preserve"> Mzdové prostředky</t>
  </si>
  <si>
    <t>Výdaje na financov. programů</t>
  </si>
  <si>
    <t xml:space="preserve"> Výdaje CELKEM</t>
  </si>
  <si>
    <t xml:space="preserve">hl. m. Praha </t>
  </si>
  <si>
    <t>PČR Správa Severomoravského kraje</t>
  </si>
  <si>
    <t>Servery (Správa hl. m. Prahy)</t>
  </si>
  <si>
    <t>Software - PČR S Střčk</t>
  </si>
  <si>
    <t>Obměna výpočetní techniky - software</t>
  </si>
  <si>
    <t>Obměna výpočetní techniky - software SCPP</t>
  </si>
  <si>
    <t>Servery k počítačům technologickým, router</t>
  </si>
  <si>
    <t>Software - PČR S Smk</t>
  </si>
  <si>
    <t>KÚP-výpočetní technika-systém jakosti 1</t>
  </si>
  <si>
    <t xml:space="preserve">Zvýšení bezpečnosti a spolehlivosti databázového centra </t>
  </si>
  <si>
    <t>Spojovací systém pro ÚRN - HS PP ČR</t>
  </si>
  <si>
    <t>Propojení SISone4ALL a NS-VIS</t>
  </si>
  <si>
    <t xml:space="preserve">Pořízení SW </t>
  </si>
  <si>
    <t>Radiokomunikační systém GSM PTT</t>
  </si>
  <si>
    <t xml:space="preserve">           - pojistné a FKSP</t>
  </si>
  <si>
    <t xml:space="preserve">           - dávky sociálního zabezpečení</t>
  </si>
  <si>
    <t xml:space="preserve">           - příspěvek na provoz PO</t>
  </si>
  <si>
    <t xml:space="preserve">           - dotace nestátním neziskovým organizacím</t>
  </si>
  <si>
    <t xml:space="preserve">           - ostatní běžné výdaje (OBV)</t>
  </si>
  <si>
    <t xml:space="preserve">Počet pracovníků OSS MV celkem </t>
  </si>
  <si>
    <t xml:space="preserve">         v tom: - příslušníci</t>
  </si>
  <si>
    <t xml:space="preserve">                    - občanští zaměstnanci</t>
  </si>
  <si>
    <t>Průměrná měsíční mzda pracovníků OSS MV celkem</t>
  </si>
  <si>
    <t xml:space="preserve">          z toho: -  příslušníci</t>
  </si>
  <si>
    <t xml:space="preserve">                      - občanských zaměstnanců</t>
  </si>
  <si>
    <t>Informativní údaje</t>
  </si>
  <si>
    <t>Podíl mandatorních výdajů na běžných výdajích celkem (v%)</t>
  </si>
  <si>
    <t>Podíl ostatních výdajů na běžných výdajích celkem  (v%)</t>
  </si>
  <si>
    <t>OBV na pracovníka a rok  (v tis.Kč)</t>
  </si>
  <si>
    <t>Výdaje na PF + OBV</t>
  </si>
  <si>
    <t>Výdaje na PF + OBV na prac. a rok (v tis.Kč)</t>
  </si>
  <si>
    <t>HDP v běžných cenách</t>
  </si>
  <si>
    <t>Podíl celkových výdajů MV na HDP</t>
  </si>
  <si>
    <t>Pro účely tohoto přehledu jsou za mandatorní výdaje považovány platy zaměstnanců a OPPP, pojistné a FKSP a dávky sociálního zabezpečení.</t>
  </si>
  <si>
    <t>Od 1.7.2004 byla zřízena Finanční policie delimitací z Ministerstva financí - 255 pracovních míst.</t>
  </si>
  <si>
    <t>Podle metodiky MF byly pro rok 2005 z OBV vyvedeny prostředky ve výši 2 207 000 tis.Kč do programového financování a současně tyto byly podle pokynu MF kráceny o 450 000 tis.Kč.</t>
  </si>
  <si>
    <t xml:space="preserve">Údaje o HDP vycházejí z podkladů MF (Makroekonomická predikce - Ekonomický výkon z ledna 2009, uveřejněný na internetových stránkách MF ČR) </t>
  </si>
  <si>
    <t>*) ve skutečnosti jsou mzdové prostředky v oblasti výzkumu a vývoje zahrnuty v ukazateli "výzkum a vývoj" a současně "platy zaměstnanců a OPPP" =&gt; výdaje celkem neodpovídají součtu výdajů na financování programů vč. niv. souvisejících, výzkumu a vývoje, převod do rezervního fondu a ostatní běžné výdaje</t>
  </si>
  <si>
    <t>Vypracovala: Ing. Bočanová, tel. 974 849 815</t>
  </si>
  <si>
    <t>Vypracovala: Ing. Šoltová, tel. 974 849 811</t>
  </si>
  <si>
    <t>Kontroloval: Ing. Hudera, tel. 974 849 802</t>
  </si>
  <si>
    <t xml:space="preserve">Ústřední orgán </t>
  </si>
  <si>
    <t>Tabulka č. 18</t>
  </si>
  <si>
    <t xml:space="preserve">           Tabulka č. 17</t>
  </si>
  <si>
    <t>Výdaje resotního policejního školství a Muzea policie ČR v roce 2008</t>
  </si>
  <si>
    <t>Sociální dávky celkem</t>
  </si>
  <si>
    <t>Mzdové prostředky</t>
  </si>
  <si>
    <t>Škol. účel. zař. MV Ruzyně</t>
  </si>
  <si>
    <t>Policejní akademie ČR</t>
  </si>
  <si>
    <t>Policejní školství celkem</t>
  </si>
  <si>
    <t>Muzeum PČR</t>
  </si>
  <si>
    <t>Nerozepsané prostředky</t>
  </si>
  <si>
    <t>Výdajová oblast celkem</t>
  </si>
  <si>
    <t xml:space="preserve">           Tabulka č. 16</t>
  </si>
  <si>
    <t>Vypracoval: Ing. Voříšek, tel. 974 849 228</t>
  </si>
  <si>
    <t xml:space="preserve">Přehled  výdajů na společné projekty (programy), které byly v roce 2008 z části  financovány z prostředků EU/ EHP-NORSKO </t>
  </si>
  <si>
    <t xml:space="preserve">Název  ukazatele </t>
  </si>
  <si>
    <t>Státní rozpočet 2008</t>
  </si>
  <si>
    <t>Skutečnost 2008</t>
  </si>
  <si>
    <t>% plnění</t>
  </si>
  <si>
    <t>spolufinan-cování ze SR</t>
  </si>
  <si>
    <t>10=7:4</t>
  </si>
  <si>
    <t>11=8:5</t>
  </si>
  <si>
    <t>12=9:6</t>
  </si>
  <si>
    <t xml:space="preserve">Výdaje na programy spolufinancované </t>
  </si>
  <si>
    <t>z prostředků EU progr. období 2004 - 2006 celkem</t>
  </si>
  <si>
    <t xml:space="preserve">   v tom:</t>
  </si>
  <si>
    <t>Transition Facility (TF) - Přechodový nástroj</t>
  </si>
  <si>
    <t>Komunitární programy - OASIS</t>
  </si>
  <si>
    <t xml:space="preserve">Strukturální fondy (SF)   v tom: </t>
  </si>
  <si>
    <t xml:space="preserve"> - Integrovaný operační program (IOP)</t>
  </si>
  <si>
    <t xml:space="preserve"> - OP životní prostředí ( OP ŽP)</t>
  </si>
  <si>
    <t xml:space="preserve">   Komunitární programy  Evropský uprchlický fond </t>
  </si>
  <si>
    <t>Výdaje na společné projekty, které jsou z části</t>
  </si>
  <si>
    <t>financovány z prostředků finančních mechanismů</t>
  </si>
  <si>
    <t>CZ0060 EHP/NORSKO Inovace systému na ochranu movitého kulturního dědictví</t>
  </si>
  <si>
    <t>Výpočetní technika - počítač na zpracování počasí</t>
  </si>
  <si>
    <t>Spektrální analyzátor Rohde&amp;Sschwarz FSH6</t>
  </si>
  <si>
    <t>Bezdrátový mikrofonní systém</t>
  </si>
  <si>
    <t>P1000 MD13 Realizace Back office útvarů 2009 a 2010 - ICT</t>
  </si>
  <si>
    <t xml:space="preserve">CZ.1.06/3.4.00/01.00125 P1000 - Lokalizační a záznamová zařízení </t>
  </si>
  <si>
    <t>P1000 Navýšení okruhů</t>
  </si>
  <si>
    <t>P1000 MD13 Úprava zázemí pro policisty - vybavení ICT</t>
  </si>
  <si>
    <t>Spojovací technika</t>
  </si>
  <si>
    <t>SIS-HW a SW</t>
  </si>
  <si>
    <t>Čekací-vyvolávací systémy</t>
  </si>
  <si>
    <t>Montážní sady pro vozidlové radiostanice Matra</t>
  </si>
  <si>
    <t>CZ.1.06/3.4.00/08.xx252 P1000 - vybavení recepcí spojovací a výpočetní technikou</t>
  </si>
  <si>
    <t>P1000 MD13 Rekonstrukce a rozšíření OS správy hl. m. Prahy</t>
  </si>
  <si>
    <t>P1000 MD13 - Výpočetní technika Back office</t>
  </si>
  <si>
    <t>Výpočetní a kancelářská technika pro NKBT</t>
  </si>
  <si>
    <t>P1000 MD13 Výpočetní technika</t>
  </si>
  <si>
    <t>P1000 MD13 - Back office 2007,2008,2009</t>
  </si>
  <si>
    <t>P1000 MD13 - Back office 2007</t>
  </si>
  <si>
    <t>P1000 MD13 - Notebooky a zobrazovací jednotky</t>
  </si>
  <si>
    <t>CZ.1.06/3.4.00/08.xx252 P1000 kamerový systém</t>
  </si>
  <si>
    <t>Výpočetní a komunikační technika</t>
  </si>
  <si>
    <t>Analytický software pro NKBT</t>
  </si>
  <si>
    <t>Informační technologie SCP</t>
  </si>
  <si>
    <t>MD13 - Výpočetní technika</t>
  </si>
  <si>
    <t>MD13 - Zobrazovací jednotky - kraje Vysočina  a Zlín</t>
  </si>
  <si>
    <t>Pořízení SW produktů MS Enterprise pro Policii ČR - Jmk</t>
  </si>
  <si>
    <t xml:space="preserve">Příspěvěk - Hranice PS - základy a zajišťovací poduška pro cvičnou věž </t>
  </si>
  <si>
    <t xml:space="preserve">Příspěvek - Šumperk PS - výstavba základů pro cvičnou věž </t>
  </si>
  <si>
    <t>Cheb CPS - opatření z EA 2.etapa - rekonstrukce pláště věže</t>
  </si>
  <si>
    <t>OUPO Brno - ohňový trenažér</t>
  </si>
  <si>
    <t xml:space="preserve">FKSP - RS Horní Lomná - parkoviště </t>
  </si>
  <si>
    <t xml:space="preserve">Příspěvek - Karlovy Vary CPS - rekonstrukce oplocení areálu </t>
  </si>
  <si>
    <t>Světlá nad Sázavou PS - změna topného média, rozvody, topná tělesa</t>
  </si>
  <si>
    <t>Chotěboř PS - regulace a rekonstrukce topení</t>
  </si>
  <si>
    <t>Třešť  PS - regulace topení</t>
  </si>
  <si>
    <t xml:space="preserve">Příspěvek - Pelhřimov PS - komunikátory, čtečky, klimatizace technol.místnosti </t>
  </si>
  <si>
    <t>Třešť  PS - náhradní zdroj</t>
  </si>
  <si>
    <t>Olomouc ZL - areál Zbiroh - stavební úpravy</t>
  </si>
  <si>
    <t>Příbram PS - rekonstrukce výměníkové stanice, rozdělovačů a sběračů</t>
  </si>
  <si>
    <t xml:space="preserve">FKSP - Zálužné RS - vybavení suterénu </t>
  </si>
  <si>
    <t xml:space="preserve">Tachov PS - výstavba stanice C1 </t>
  </si>
  <si>
    <t xml:space="preserve">Příspěvek - Frýdek-Místek HS - rekonstrukce MaR </t>
  </si>
  <si>
    <t>Cheb CPS - rekonstrukce oplocení</t>
  </si>
  <si>
    <t>TÚPO - rekonstrukce datové a telefonní sítě</t>
  </si>
  <si>
    <t>Frenštát pod Radhoštěm CHL - rekonstrukce rozvodů</t>
  </si>
  <si>
    <t>Domažlice PS - sklad CO - plynová přípojka</t>
  </si>
  <si>
    <t>České Budějovice CPS - mycí linka s věží na sušení hadic</t>
  </si>
  <si>
    <t>Malšovice ÚZ - opatření z EA a výměna oken</t>
  </si>
  <si>
    <t xml:space="preserve">Příspěvek - Třebíč PS - výměna vrat garáží </t>
  </si>
  <si>
    <t>Semily PS - výměna vrat</t>
  </si>
  <si>
    <t>Turnov PS - opatření z EA -  výměna vrat</t>
  </si>
  <si>
    <t>Liberec CPS - opatření z EA -  výměna vrat</t>
  </si>
  <si>
    <t>Liberec CPS - klimatizace</t>
  </si>
  <si>
    <t>Plzeň KŘ, Kaplířova - technické zhodnocení</t>
  </si>
  <si>
    <t>Obora u Kaznějova - plynová přípojka a rekonstrukce</t>
  </si>
  <si>
    <t>ZL OL - sklad Drahanovice - rekonstrukce nákladních výtahů</t>
  </si>
  <si>
    <t>Mikulov PS - úplatný převod pozemku</t>
  </si>
  <si>
    <t>TÚPO - dodávka a instalace digestoří v laboratořích B25 a B22</t>
  </si>
  <si>
    <t>Cheb CPS - sanace objektu</t>
  </si>
  <si>
    <t>OZ OL - garáže pro motorová vozidla</t>
  </si>
  <si>
    <t>Velká Bíteš PS - výkup pozemku</t>
  </si>
  <si>
    <t>Velká Bíteš PS - rekonstrukce kotelny a topení</t>
  </si>
  <si>
    <t>Česká Lípa PS - přístřešek pro nádrže PHM</t>
  </si>
  <si>
    <t xml:space="preserve">Pardubice CPS - zateplení dílny CHTS </t>
  </si>
  <si>
    <t>Kamenice ŠSCHL - rekonstrukce střechy budovy laboratoří</t>
  </si>
  <si>
    <t>Hodonín PS - zpevněná plocha pro sušení hadic</t>
  </si>
  <si>
    <t xml:space="preserve">Hrušovany nad Jevišovkou PS - výměna vrat a dveří v objektu garáží </t>
  </si>
  <si>
    <t xml:space="preserve">Příspěvek - Kladno HZS - klimatizace III.NP - budova D a E </t>
  </si>
  <si>
    <t>Hrušovany nad Jevišovkou PS - dokončení fasády dvorního traktu</t>
  </si>
  <si>
    <t>Ústí nad Labem PS - modernizace výtahu</t>
  </si>
  <si>
    <t xml:space="preserve">Příspěvek - Opava HS - výjezdová vrata </t>
  </si>
  <si>
    <t>Čáslav PS - výkup nemovitostí</t>
  </si>
  <si>
    <t>Říčany PS - výkup pozemku</t>
  </si>
  <si>
    <t xml:space="preserve">Příspěvek - Ovčáry HZS - instalace hrotového systému proti ptactvu </t>
  </si>
  <si>
    <t>Bruntál HS - rekonstrukce sociálních zařízení</t>
  </si>
  <si>
    <t>Hlučín HS - výjezdová brána</t>
  </si>
  <si>
    <t xml:space="preserve">Příspěvek - Orlová  HS - vybavení kuchyně </t>
  </si>
  <si>
    <t>ZL Olomouc - Národní hasičské muzeum HZS ČR ve Zbirohu</t>
  </si>
  <si>
    <t>Žamberk PS - rekonstrukce výjezdových vrat</t>
  </si>
  <si>
    <t>Bílina PS - rekonstrukce a dostavba - PD ke stavebnímu řízení</t>
  </si>
  <si>
    <t xml:space="preserve">Příspěvek - Litoměřice PS - stav.úpravy pro připojení sušičky a pračky na hadice </t>
  </si>
  <si>
    <t>Bílina PS - rekonstrukce a dostavba - nákup nemovitého majetku</t>
  </si>
  <si>
    <t>Kontejner chemický</t>
  </si>
  <si>
    <t>Termovizní kamera II</t>
  </si>
  <si>
    <t>Automobilní technika GŘ HZS ČR</t>
  </si>
  <si>
    <t>Digestoř do laboratoře "elektro"</t>
  </si>
  <si>
    <t>Zařízení pro stanovení vznětlivosti pevných materiálů</t>
  </si>
  <si>
    <t>Průtokoměr</t>
  </si>
  <si>
    <t>Silniční váhy</t>
  </si>
  <si>
    <t>Dekontaminační sprcha</t>
  </si>
  <si>
    <t>Zařízení na výrobu lehké pěny</t>
  </si>
  <si>
    <t>Hydraulické vyprošťovací zařízení</t>
  </si>
  <si>
    <t>Přestavba kontejneru na NL</t>
  </si>
  <si>
    <t>Technické zhodnocení CAS 24-zabudování VDP</t>
  </si>
  <si>
    <t>Kalibrační zařízení MDG-02</t>
  </si>
  <si>
    <t>Zkušební zařízení pro provádění hydraulických zkoušek</t>
  </si>
  <si>
    <t>Přídavné zařízení na traktor</t>
  </si>
  <si>
    <t>Laminátor na DVD disky</t>
  </si>
  <si>
    <t>TÚPO - Opravy a údržba movitého majetku</t>
  </si>
  <si>
    <t>IOO - Opravy a údržba movitého majetku</t>
  </si>
  <si>
    <t>OUPO BM - Opravy a údržba movitého majetku</t>
  </si>
  <si>
    <t>OUPO BO - Opravy a údržba movitého majetku</t>
  </si>
  <si>
    <t>OUPO CV Opravy a údržba movitého majetku</t>
  </si>
  <si>
    <t>OUPO FM - Opravy a údržba movitého majetku</t>
  </si>
  <si>
    <t>OZ OL - Opravy a údržba movitého majetku</t>
  </si>
  <si>
    <t>ZL OL - Opravy a údržba movitého majetku</t>
  </si>
  <si>
    <t xml:space="preserve">Opravy a údržba movitého majetku </t>
  </si>
  <si>
    <t>Požární zásahový automobil</t>
  </si>
  <si>
    <t>Vybavení jednotek HZS technikou</t>
  </si>
  <si>
    <t>Technický automobil barokomora</t>
  </si>
  <si>
    <t>USAR – Souprava vyhledávacího a detekčního zařízení osob</t>
  </si>
  <si>
    <t>Disperzní spektrometr</t>
  </si>
  <si>
    <t>res.školství a Muzeum P ČR celkem</t>
  </si>
  <si>
    <t xml:space="preserve">Kapitola : 314 - Ministerstvo vnitra </t>
  </si>
  <si>
    <t xml:space="preserve">CZ.1.06/3.4.00/08.xx252 P1000 - OO PČR Suchdol nad Lužnicí, čp. 627  </t>
  </si>
  <si>
    <t xml:space="preserve">CZ.1.06/3.4.00/08.xx252 P1000 - OOP Třinec, 1. máje 124 </t>
  </si>
  <si>
    <t>CZ.1.06/3.4.00/08.xx252 P1000 - OOP Olomouc 1, Sokolská 481</t>
  </si>
  <si>
    <t>CZ.1.06/3.4.00/08.xx252 P1000 - OOP Opava, Vaškovo nám. 2021</t>
  </si>
  <si>
    <t xml:space="preserve">CZ.1.06/3.4.00/08.xx252 P1000 - OOP Ostrava-Poruba 1, Dělnická 392 </t>
  </si>
  <si>
    <t xml:space="preserve">CZ.1.06/3.4.00/08.xx252 P1000 - OOP Ostrava-Mariánské Hory, Strmá 1074 </t>
  </si>
  <si>
    <t xml:space="preserve">CZ.1.06/3.4.00/08.xx252 P1000 - OOP Bruntál, Sladovnická 1472 </t>
  </si>
  <si>
    <t xml:space="preserve">CZ.1.06/3.4.00/08.xx252 P1000 - OOP Frýdlant nad Ostravicí, tř. 5. května 1419 </t>
  </si>
  <si>
    <t>CZ.1.06/3.4.00/08.xx252 P1000 - OOP Jeseník, Moravská 780</t>
  </si>
  <si>
    <t xml:space="preserve">CZ.1.06/3.4.00/08.xx252 P1000 - OOP Karviná , U Svobodáren 1298 </t>
  </si>
  <si>
    <t xml:space="preserve">CZ.1.06/3.4.00/08.xx252 P1000 - OOP Kopřivnice, Štefánikova 370 </t>
  </si>
  <si>
    <t xml:space="preserve">CZ.1.06/3.4.00/08.xx252 P1000 - OOP Ostrava-Poruba , Heyrovského 1737 </t>
  </si>
  <si>
    <t xml:space="preserve">CZ.1.06/3.4.00/08.xx252 P1000 - OOP Rýmařov, J.Sedláka 44 </t>
  </si>
  <si>
    <t>CZ.1.06/3.4.00/08.xx252 P1000 - OOP Šternberk, Oblouková 2210</t>
  </si>
  <si>
    <t>CZ.1.06/3.4.00/08.xx252 P1000 OOP Velká Bystřice, Zám. náměstí 17</t>
  </si>
  <si>
    <t xml:space="preserve">CZ.1.06/3.4.00/08.xx252 P1000 - OOP Hanušovice, Hlavní 93 </t>
  </si>
  <si>
    <t>CZ.1.06/3.4.00/08.xx252 P1000 - OOP Mohelnice, Gen. Svobody 473</t>
  </si>
  <si>
    <t xml:space="preserve">CZ.1.06/3.4.00/08.xx252 P1000 - OOP Velké Losiny, Rudé armády 361 </t>
  </si>
  <si>
    <t>CZ.1.06/3.4.00/08.xx252 P1000 - OŘP Šumperk, Havlíčkova 2913</t>
  </si>
  <si>
    <t xml:space="preserve">CZ.1.06/3.4.00/08.xx252 P1000 - DI+SSČ Plzeň-město </t>
  </si>
  <si>
    <t>ICP Hodonín, ul. Koupelní 1 - stavební úpravy</t>
  </si>
  <si>
    <t>ETŘ na OŘP Olomouc</t>
  </si>
  <si>
    <t>SF-EU P1000 - Otevřené recepce a projekty</t>
  </si>
  <si>
    <t>Praha 8, Střelničná - výkup pozemku</t>
  </si>
  <si>
    <t>Praha 8, Střelničná - rekonstrukce výtahu</t>
  </si>
  <si>
    <t>Nákup sanitních vozů</t>
  </si>
  <si>
    <t>P1000 Přípotoční - rekonstrukce OO PČR</t>
  </si>
  <si>
    <t>Nákup objektu IMV Karlovy Vary</t>
  </si>
  <si>
    <t>Praha 6 - objekt IMV - Skokanská</t>
  </si>
  <si>
    <t>Stavební úpravy 10. - 19. NP v objektu Kupeckého č.p. 843</t>
  </si>
  <si>
    <t>Celkem z 114040</t>
  </si>
  <si>
    <t>Zabezpečení oken v domě s pečovatelskou službou</t>
  </si>
  <si>
    <t>Lanové centrum - lanový prvek</t>
  </si>
  <si>
    <t>Mobilní kamerový systém</t>
  </si>
  <si>
    <t>Městský kamerový dohlížecí systém</t>
  </si>
  <si>
    <t>Třetí etapa výstavby MKDS</t>
  </si>
  <si>
    <t>MKDS - sídliště  U Stadionu, sportovní areály a mobilní kamera</t>
  </si>
  <si>
    <t>Výstavba kamerového bodu - věžák Gagarinova 1647</t>
  </si>
  <si>
    <t>Městský kamerový dohlížecí systém Blansko, etapa IX.</t>
  </si>
  <si>
    <t>Rozšíření MKDS města Žďár nad Sázavou</t>
  </si>
  <si>
    <t>Kamerové body (ul. Šunychelská, Mickiewicze)</t>
  </si>
  <si>
    <t>Skatepark Smiřice</t>
  </si>
  <si>
    <t>Revitalizace veřejně přístupného sportovního hřiště</t>
  </si>
  <si>
    <t>Rozšíření kamerového systému města Kutná Hora</t>
  </si>
  <si>
    <t>MKMS - kamery Portyč + záznam, rok 2008</t>
  </si>
  <si>
    <t>Systém informační podpory řízení operačního pracoviště Městské policie Děčín</t>
  </si>
  <si>
    <t>Adrenalin</t>
  </si>
  <si>
    <t>Rozšíření městského kamerového dohlížecího systému</t>
  </si>
  <si>
    <t>Městský kamerový systém</t>
  </si>
  <si>
    <t>Propojení MKDS s varovným a informačním systémem města Vítkova</t>
  </si>
  <si>
    <t>Rozšíření městského kamerového systému města Vítkova</t>
  </si>
  <si>
    <t>Bezpečná ulice - spokojený občan</t>
  </si>
  <si>
    <t>Městský kamerový dohlížecí systém - VI. etapa</t>
  </si>
  <si>
    <t>Skatepark Karolinka</t>
  </si>
  <si>
    <t>Rozšíření městského kamerového dohlížecího systému - VI. etapa</t>
  </si>
  <si>
    <t>Rozšíření městského kamerového dohlížecího systému, město Vsetín</t>
  </si>
  <si>
    <t>Na kriminalitu komunikací a pohybem - skatepark</t>
  </si>
  <si>
    <t>Osvětlení parku</t>
  </si>
  <si>
    <t>Nový bod MKDS</t>
  </si>
  <si>
    <t>Vybudování skateboardového hřiště</t>
  </si>
  <si>
    <t>Skatepark Bochov</t>
  </si>
  <si>
    <t>Kamera pod estakádou - nový kamerový bod FM</t>
  </si>
  <si>
    <t>Posílení pouličního osvětlení v rizikových lokalitách</t>
  </si>
  <si>
    <t>Rozšíření městského kamerového dohlížecího systému města Pelhřimov</t>
  </si>
  <si>
    <t>Systém včasné intervence na Praze 2 pro rok 2008 (1. část)</t>
  </si>
  <si>
    <t>Systém včasné intervence Třebíč 2008</t>
  </si>
  <si>
    <t>Mobilní kamera</t>
  </si>
  <si>
    <t>Hřiště v Zeleném údolí</t>
  </si>
  <si>
    <t>Další místo řízení (DMŔ) na OO PČR Kadaň, ul. Klášterecká 1483</t>
  </si>
  <si>
    <t>Rozšíření MKDS - kamerové stanoviště Kulturní dům Radost</t>
  </si>
  <si>
    <t>Kamera - Masokombinát</t>
  </si>
  <si>
    <t>Rozšíření kamerového souboru</t>
  </si>
  <si>
    <t>Streetová plocha na u. Holandská</t>
  </si>
  <si>
    <t>Městský kamerový dohlížecí systém Česká Třebová, IV. etapa</t>
  </si>
  <si>
    <t>Městský kamerový dohlížecí systém pro město Benešov - II. etapa</t>
  </si>
  <si>
    <t>Multifunkční hřiště v Orlové-Porubě</t>
  </si>
  <si>
    <t>Osvětlení rizikových míst - "veřejné osvětlení komunikace event.č.4a Poštovní"</t>
  </si>
  <si>
    <t>Rozšíření městského kamerového dohlížecího systému, město Třinec</t>
  </si>
  <si>
    <t>Rozšíření monitorovacího dohlížecího kamerového systému, Jihlava</t>
  </si>
  <si>
    <t>FKSP - RZ ALMA, Železná Ruda č.p. 98 - dřevěný přístřešek</t>
  </si>
  <si>
    <t>P1000 - OOP Roudnice nad Labem, Riegerova 636 - BACK OFFICE</t>
  </si>
  <si>
    <t>P1000 - OOP Teplice, Vrchlického 974/10 - BACK OFFICE</t>
  </si>
  <si>
    <t>P1000 - OOP Chrastava, Pobřežní 430 - BACK OFFICE</t>
  </si>
  <si>
    <t>P1000 - Oprava a údržba nemovitého majetku - BACK OFFICE</t>
  </si>
  <si>
    <t>Praha 6, Pelléova 19 - klimatizace místností č. 201 a 202</t>
  </si>
  <si>
    <t>Praha 7, Strojnická 27 - rekonstrukce sociálních zařízení v 5. patře</t>
  </si>
  <si>
    <t>OŘP Příbram, Zdaboř - oplocení části areálu</t>
  </si>
  <si>
    <t>P1000 - IZSVD Praha 8, Křižíkova 8 - recepce - front office</t>
  </si>
  <si>
    <t>Praha 7, Strojnická 27 - klimatizace serveru EUROPOL</t>
  </si>
  <si>
    <t>P1000  - Praha 1, Na Perštýně 11 - stavební úpravy objektu</t>
  </si>
  <si>
    <t>P1000  - Praha 1, Na Perštýně 11 - výměna výtahu</t>
  </si>
  <si>
    <t>P1000  - Praha 6, Českomalínská 5 - stavební úpravy půdního prostoru</t>
  </si>
  <si>
    <t>P1000 - OŘP Jihava - montáž klima jednotek v rámci back office</t>
  </si>
  <si>
    <t>P1000 MD13 - OOP Domažlice, Hruškova 152 - back office</t>
  </si>
  <si>
    <t>P1000 MD13 - OOP Český Dub, 17. listopadu 51 - rekonstrukce objektu</t>
  </si>
  <si>
    <t>P1000 MD13 - OOP Chomutov, T.G. Masaryka 3100 - rekonstrukce objektu</t>
  </si>
  <si>
    <t>P1000 MD13 - Opravy a údržba nemovitého majetku (nadlimitní akce)</t>
  </si>
  <si>
    <t>P1000 - OOP Vyšší Brod - Back Office</t>
  </si>
  <si>
    <t>CZ.1.06/3.4.00/08.xx252 P1000 - OŘP Chrudim, Všehrdovo nám. 46</t>
  </si>
  <si>
    <t>CZ.1.06/3.4.00/08.xx252 P1000 - OŘP Náchod, Husovo nám. 698</t>
  </si>
  <si>
    <t>CZ.1.06/3.4.00/08.xx252 P1000 - OŘP Rychnov nad Kněžnou, ul. Zborovská 1360</t>
  </si>
  <si>
    <t>CZ.1.06/3.4.00/08.xx252 P1000 - OŘP Havlíčkův Brod, Husova 2894</t>
  </si>
  <si>
    <t>CZ.1.06/3.4.00/08.xx252 P1000 - OŘP Ústí nad Orlicí, Dělnická 1188</t>
  </si>
  <si>
    <t>CZ.1.06/3.4.00/08.xx252 P1000 - OOP Hradec Králové 2, Pospíšilova 1103</t>
  </si>
  <si>
    <t>CZ.1.06/3.4.00/08.xx252 P1000 - OOP Špindlerův Mlýn, Bedřichov čp. 53</t>
  </si>
  <si>
    <t>CZ.1.06/3.4.00/08.xx252 P1000 - OOP Pec pod Sněžkou čp. 164</t>
  </si>
  <si>
    <t>CZ.1.06/3.4.00/08.xx252 P1000 - OOP Vrchlabí čp. 53</t>
  </si>
  <si>
    <t>CZ.1.06/3.4.00/08.xx252 P1000 - OOP Přelouč, Pražská 20</t>
  </si>
  <si>
    <t>CZ.1.06/3.4.00/01.00209 P1000 - OOP + DI + SSČ Karlovy Vary - Rybáře</t>
  </si>
  <si>
    <t>CZ.1.06/3.4.00/08.xx252 P1000 - OOP Toužim, Plzeňská ul. 387</t>
  </si>
  <si>
    <t>CZ.1.06/3.4.00/08.xx252 P1000 - OOP Nová Role, U Plynárny 309</t>
  </si>
  <si>
    <t>CZ.1.06/3.4.00/08.xx252 P1000 - OOP Nejdek, ul. Bratří Čapků</t>
  </si>
  <si>
    <t>CZ.1.06/3.4.00/08.xx252 P1000 - OOP Hrádek u Rokycan - nám. 8. května 270</t>
  </si>
  <si>
    <t>CZ.1.06/3.4.00/08.xx252 P1000 - OŘP Plzeň sever-jih, Anglické nábřeží 7</t>
  </si>
  <si>
    <t>CZ.1.06/3.4.00/08.xx252 P1000 - OOP Kraslice, T.G.Masaryka 76</t>
  </si>
  <si>
    <t>CZ.1.06/3.4.00/08.xx252 P1000 - OOP Holýšov, Holýšov čp. 5</t>
  </si>
  <si>
    <t>P1000 - OOP Kraslice, T.G.Masaryka 76 - Back office</t>
  </si>
  <si>
    <t>P1000 - OOP Holýšov, Holýšov čp. 5 - Back office</t>
  </si>
  <si>
    <t>P1000 - OŘP Plzeň sever-jih, Anglické nábřeží 7 - Back office</t>
  </si>
  <si>
    <t>CZ.1.06/3.4.00/08.xx252 P1000 - OOP Znojmo, Pražská 2486</t>
  </si>
  <si>
    <t>CZ.1.06/3.4.00/08.xx252 P1000 - OOP Rajhrad, Štefánikova 109</t>
  </si>
  <si>
    <t>CZ.1.06/3.4.00/08.xx252 P1000 - OOP Tišnov, Majorova 763</t>
  </si>
  <si>
    <t>CZ.1.06/3.4.00/08.xx252 P1000 - OŘP Uherské Hradiště, Velehradská 1217</t>
  </si>
  <si>
    <t>CZ.1.06/3.4.00/08.xx252 P1000 - DO PČR Velký Beranov, Nádražní 334</t>
  </si>
  <si>
    <t>CZ.1.06/3.4.00/08.xx252 P1000 - OOP Valašské Meziříčí, Vsetínská 378</t>
  </si>
  <si>
    <t>CZ.1.06/3.4.00/08.xx252 P1000 - OOP Rosice, Palackého nám. 263</t>
  </si>
  <si>
    <t>CZ.1.06/3.4.00/08.xx252 P1000 - OOP Šlapanice, Masarykovo nám. 99</t>
  </si>
  <si>
    <t>CZ.1.06/3.4.00/08.xx252 P1000 - OOP Veselí nad Moravou, Masarykova 15</t>
  </si>
  <si>
    <t>CZ.1.06/3.4.00/08.xx252 P1000 - OOP Vizovice, Slušovská 425</t>
  </si>
  <si>
    <t>CZ.1.06/3.4.00/08.xx252 P1000 - OOP Nové Město na Moravě, Žďárská 43</t>
  </si>
  <si>
    <t>CZ.1.06/3.4.00/08.xx252 P1000 - OOP Kyjov, Boršovská 2007</t>
  </si>
  <si>
    <t>CZ.1.06/3.4.00/08.xx252 P1000 - OOP Mikulov, U lomu 561</t>
  </si>
  <si>
    <t>CZ.1.06/3.4.00/08.xx252 P1000 - OOP Telč, Luční 625</t>
  </si>
  <si>
    <t>CZ.1.06/3.4.00/08.xx252 P1000 - OOP Uherský Brod, Obchodní 2379</t>
  </si>
  <si>
    <t>CZ.1.06/3.4.00/08.xx252 P1000 - OOP Náměšť nad Oslavou, Třebíčská 924</t>
  </si>
  <si>
    <t>CZ.1.06/3.4.00/08.xx252 P1000 - OŘP Blansko, P. Bezruče 31</t>
  </si>
  <si>
    <t>CZ.1.06/3.4.00/08.xx252 P1000 - OOP Valašské Klobouky, Cyrilmetodějská 295</t>
  </si>
  <si>
    <t>CZ.1.06/3.4.00/08.xx252 P1000 - OOP Třebíč, Bráfova 3</t>
  </si>
  <si>
    <t>CZ.1.06/3.4.00/08.xx252 P1000 - OOP Moravské Budějovice, Pražská 1095</t>
  </si>
  <si>
    <t>P1000 MD13 - OOP Moravské Budějovice, Pražská 1095 - Back office</t>
  </si>
  <si>
    <t>SF-EU OPLZZ Nástroje pro pravidelné přezkoumávání regulace (návrh, vyhodnocení)</t>
  </si>
  <si>
    <t>SF-EU OPLZZ Ex - post RIA na vybraný právní předpis</t>
  </si>
  <si>
    <t>SF-EU OPLZZ Metodiky k analytickým metodám</t>
  </si>
  <si>
    <t>SF-EU OPLZZ Analýza vstupů a výstupů úřadů ÚSS</t>
  </si>
  <si>
    <t>SF-EU OPLZZ Analýza metodické pomoci ministerstev, a to včetně využití ICT</t>
  </si>
  <si>
    <t>SF-EU OPLZZ Zpracování mapy komunikace v rámci veřejné správy</t>
  </si>
  <si>
    <t>SF-EU OPLZZ Zkvalitnění profesní přípravy policistů projekt "Supervize"</t>
  </si>
  <si>
    <t>SF-EU OPLZZ Vzdělávací a doškolovací aktivity související s kybernetickými hrozbami</t>
  </si>
  <si>
    <t>SF-EU OPLZZ Rozvoj lids.zdrojů ve st.správě v rámci eterdisciplinárního projektu SVI</t>
  </si>
  <si>
    <t>CZ.1.06/3.4.00/08.xx252 P1000 - OŘP SKPV Kolín, K Dílnám 684</t>
  </si>
  <si>
    <t>CZ.1.06/3.4.00/08.xx252 P1000 - OOP Čáslav, Dusíkova 77</t>
  </si>
  <si>
    <t>CZ.1.06/3.4.00/08.xx252 P1000 - OOP Mnichovo Hradiště, Víta Nejedlého č.p. 720</t>
  </si>
  <si>
    <t>CZ.1.06/3.4.00/08.xx252 P1000 - OOP Sadská, Prokopova 387</t>
  </si>
  <si>
    <t>CZ.1.06/3.4.00/08.xx252 P1000 - OŘP Nymburk, Boleslavská 1831</t>
  </si>
  <si>
    <t>CZ.1.06/3.4.00/08.xx252 P1000 - OOP Jílové u Prahy, Husova 256</t>
  </si>
  <si>
    <t>CZ.1.06/3.4.00/08.xx252 P1000 - OOP Brandýs nad Labem, Zahradnická 1877</t>
  </si>
  <si>
    <t>CZ.1.06/3.4.00/08.xx252 P1000 - OOP Řevnice, Nádražní 213</t>
  </si>
  <si>
    <t>CZ.1.06/3.4.00/08.xx252 P1000 - OOP Mníšek pod Brdy, nám. F.X. Svobody 27</t>
  </si>
  <si>
    <t>CZ.1.06/3.4.00/08.xx252 P1000 - OOP Čelákovice, Prokopa Holého 1664</t>
  </si>
  <si>
    <t>CZ.1.06/3.4.00/08.xx252 P1000 - OOP Hradišťko pod Medníkem 75</t>
  </si>
  <si>
    <t>CZ.1.06/3.4.00/08.xx252 P1000 - OOP Bělá pod Bezdězem, Masarykovo nám. 149</t>
  </si>
  <si>
    <t>CZ.1.06/3.4.00/08.xx252 P1000 - OOP Benátky nad Jizerou, Pražská 99</t>
  </si>
  <si>
    <t>CZ.1.06/3.4.00/08.xx252 P1000 - SKPV Mnichovice, Masarykovo nám. 708</t>
  </si>
  <si>
    <t>P1000 - Opravy a údržba nemovitého majetku - Back office - 2007</t>
  </si>
  <si>
    <t>CZ.1.06/3.4.00/08.xx252 P1000 OŘP Frýdek-Místek, Beskydská 2061</t>
  </si>
  <si>
    <t>CZ.1.06/3.4.00/08.xx252 P1000 OOP Přerov, Č. Drahlovského 2342</t>
  </si>
  <si>
    <t>P1000 MD13 - SKPV Mnichovice, Masarykovo nám. 708 - st.úpravy - BACK OFFICE</t>
  </si>
  <si>
    <t>P1000 MD13 - OOP Mladá Boleslav, Bělská 72 - rekonstrukce dvora</t>
  </si>
  <si>
    <t>P1000 - Opravy a údržba nemovitého majetku - BACK OFFICE 2007</t>
  </si>
  <si>
    <t>P1000 MD13 - OOP Prostějov, Újezd 12 - III. etapa + recepce</t>
  </si>
  <si>
    <t>P1000 MD13 OOP Nový Jičín, Vančurova 704 - oprava fasády, výměna oken</t>
  </si>
  <si>
    <t>P1000 MD13 - OOP Hlučín, Dr. E. Beneše 217 - zateplení fasády, výměna oken</t>
  </si>
  <si>
    <t>P1000 MD13 OOP Zábřeh na Moravě, Postřelmovská 7 - zatepl.fasády</t>
  </si>
  <si>
    <t>P1000 MD13 OOP Uničov, gen. Svobody 1214 - vybudování vjezdové brány</t>
  </si>
  <si>
    <t>P1000 MD13 Oprava a údržba nemovitého majetku (nadlimitní akce)</t>
  </si>
  <si>
    <t>Ústí nad Labem, Božtěšice - rekonstrukce a rekolaudace ubytovny</t>
  </si>
  <si>
    <t>P1000 - OOP Humpolec, Žižkova č.p. 520 - BACK OFFICE 2007</t>
  </si>
  <si>
    <t>KŘ PČR Karlovy Vary - objemová studie</t>
  </si>
  <si>
    <t>P1000 MD13 SZK PČR Plzeň, Nádražní 2 - kinosál - BACK OFFICE</t>
  </si>
  <si>
    <t>P1000 MD13 ObŘ SCP Plzeň, Slovanská alej 32 - oprava soc.zařízení - BACK OFFICE</t>
  </si>
  <si>
    <t>P1000 MD13 MŘP Plzeň, Klatovská 56 - FRONT OFFICE</t>
  </si>
  <si>
    <t>P1000 MD13 ICP Cheb, Selbská u Aše - BACK OFFICE</t>
  </si>
  <si>
    <t>P1000 MD13 OŘP Plzeň - jih, Anglické nábřeží 7 - BACK OFFICE</t>
  </si>
  <si>
    <t>P1000 MD13 OOP Bor u Tachova, Luční  čp. 613 - BACK OFFICE</t>
  </si>
  <si>
    <t>P1000 MD13 OOP Bor u Tachova, Luční čp.613 - FRONT OFFICE</t>
  </si>
  <si>
    <t>P1000 MD13 S Jčk České Budějovice, Lannova 26 - vybudování recepce s IC</t>
  </si>
  <si>
    <t>Praha 6, V Sadech 47  - oddělení technického zázemí</t>
  </si>
  <si>
    <t>P1000 MD13 OŘP Trutnov - strukturovaná kabeláž</t>
  </si>
  <si>
    <t>P1000 Opravy a údržba nemovitého majetku - Back office 2007</t>
  </si>
  <si>
    <t>P1000 MD13 Zlín, tř. T. Bati 44 - výkup objektu</t>
  </si>
  <si>
    <t>P1000 MD13 OOP Trhové Sviny - výkup objektu</t>
  </si>
  <si>
    <t>P1000 MD13 OOP Frýdek-Místek, Hlavní 110 - dostavba objektu</t>
  </si>
  <si>
    <t>Statutární město Liberec - Machnín - cisternová automobilová stříkačka</t>
  </si>
  <si>
    <t>Janovice nad Úhlavou, okr. Klatovy - cisternová automobilová stříkačka</t>
  </si>
  <si>
    <t>Staňkov, okr. Domažlice - cisternová automobilová stříkačka</t>
  </si>
  <si>
    <t>Obec Nošovice, okr. Frýdek-Místek - cisternová automobilová stříkačka</t>
  </si>
  <si>
    <t>Újezd u Brna, okr. Brno - venkov - cisternová automobilová stříkačka</t>
  </si>
  <si>
    <t>Ledenice, okr. České Budějovice - cisternová automobilová stříkačka</t>
  </si>
  <si>
    <t xml:space="preserve">Město Hrádek, okr. Rokycany - cisternová automobilová stříkačka </t>
  </si>
  <si>
    <t>Pražmo, okr.  Frýdek-Místek - cisternová automobilová stříkačka</t>
  </si>
  <si>
    <t>Bystřice nad Pernštejnem, okr. Žďár nad Sázavou - cisternová automobilová stříkačka</t>
  </si>
  <si>
    <t>Statutární město Zlín-Prštné - cisternová automobilová stříkačka</t>
  </si>
  <si>
    <t>Město Šlapanice, okr. Brno-venkov  - cisternová automobilová stříkačka</t>
  </si>
  <si>
    <t>Tišnov, okr. Brno-venkov  - cisternová automobilová stříkačka</t>
  </si>
  <si>
    <t>Černošín, okr. Tachov - cisternová automobilová stříkačka</t>
  </si>
  <si>
    <t>Obrnice, okr. Most - cisternová automobilová stříkačka</t>
  </si>
  <si>
    <t>Příbram, okr. Příbram - cisternová automobilová stříkačka</t>
  </si>
  <si>
    <t>Brno - Komín, okr. Brno-město - cisternová automobilová stříkačka</t>
  </si>
  <si>
    <t>Město Mýto, okr. Rokycany - cisternová automobilová stříkačka</t>
  </si>
  <si>
    <t>Strážov, okr.  Klatovy - cisternová automobilová stříkačka</t>
  </si>
  <si>
    <t>Židlochovice, okr. Brno-venkov - cisternová automobilová stříkačka</t>
  </si>
  <si>
    <t>Město Dobříš, okr. Příbram - cisternová automobilová stříkačka</t>
  </si>
  <si>
    <t>Statutární město Brno, MČ Brno-Chrlice - cisternová automobilová stříkačka</t>
  </si>
  <si>
    <t>Písek, okr. Písek - cisternová automobilová stříkačka</t>
  </si>
  <si>
    <t>Kasejovice, okr. Plzeň-jih - cisternová automobilová stříkačka</t>
  </si>
  <si>
    <t>Hlavní město Praha, Praha-Satalice - cisternová automobilová stříkačka</t>
  </si>
  <si>
    <t>Obec Strašice, okr. Rokycany - cisternová automobilová stříkačka</t>
  </si>
  <si>
    <t>Březová, okr.  Sokolov - cisternová automobilová stříkačka</t>
  </si>
  <si>
    <t>Statutární město Brno, MČ Maloměřice a Obřany - elektronická siréna</t>
  </si>
  <si>
    <t>Statutární město Brno, MČ Brno-sever - výstavba koncových prvků varování</t>
  </si>
  <si>
    <t>Statutární město Brno, MČ Brno-Židenice - výstavba elektronických sirén</t>
  </si>
  <si>
    <t>Město Bystřice pod Hostýnem - bezdrátový rozhlas</t>
  </si>
  <si>
    <t>Obec Rájec - varovný systém pro obec Rájec - obecní rozhlas</t>
  </si>
  <si>
    <t>Obec Staré Město, okr. Frýdek-Místek - bezdrátový rozhlas</t>
  </si>
  <si>
    <t>Město Broumov - varovný a informační systém obyvatel (etapa rozšíření podél toku Stěnavy)</t>
  </si>
  <si>
    <t>Město Polička - bezdrátový rozhlas</t>
  </si>
  <si>
    <t>Obec Lišný - bezdrátový systém varování obyvatelstva</t>
  </si>
  <si>
    <t>Město Lomnice nad Popelkou - městský rozhlas</t>
  </si>
  <si>
    <t>Obec Tlučná - bezdrátový rozhlas</t>
  </si>
  <si>
    <t>Město Vodňany - obecní rozhlas</t>
  </si>
  <si>
    <t xml:space="preserve">Město Rožmitál pod Třemšínem - elektronická siréna </t>
  </si>
  <si>
    <t>Město Chrast, okr. Chrudim - stavební úpravy garáží  pro JSDH</t>
  </si>
  <si>
    <t>Obec Lubenec, okr. Louny - dokončení přístavby hasičské zbrojnice</t>
  </si>
  <si>
    <t>Město Horní Slavkov, okr. Sokolov - přístavba a stavební úpravy hasičské zbrojnice</t>
  </si>
  <si>
    <t>Obec Malenice, okr. Strakonice - rekonstrukce hasičské zbrojnice</t>
  </si>
  <si>
    <t>Most PS - rekonstrukce ústředního vytápění</t>
  </si>
  <si>
    <t>Opravy a údržba nemovitého majetku - ČOV</t>
  </si>
  <si>
    <t>Opravy a údržba nemovitého majetku - ochrana ŽP</t>
  </si>
  <si>
    <t>OUPO FM - výstavba odlučovače lehkých kapalin</t>
  </si>
  <si>
    <t xml:space="preserve">Všebořice PS - výstavba odsávání výfukových plynů </t>
  </si>
  <si>
    <t xml:space="preserve">Hrušovany nad Jevišovkou PS - výstavba odlučovače ropných látek </t>
  </si>
  <si>
    <t xml:space="preserve">Třebíč CPS - odsávání výfukových plynů </t>
  </si>
  <si>
    <t>Tišnov PS - výstavba odlučovače ropných látek</t>
  </si>
  <si>
    <t>P1000 MD13 - Opravy a údržba nemovitého majetku - Back office 2008</t>
  </si>
  <si>
    <t>P1000 - Opravy a údržba nemovitého majetku - Back office 2008</t>
  </si>
  <si>
    <t>P1000 MD13 - OOP Vimperk - výkup pozemku</t>
  </si>
  <si>
    <t>Výkup pozemku - Kanice</t>
  </si>
  <si>
    <t>Praha 3, Olšanská č. 4 - lehká tepelně izolační příčka</t>
  </si>
  <si>
    <t>Praha 7, Strojnická 27 - chlazení prostoru třech salonků</t>
  </si>
  <si>
    <t>P1000 MD13 Opravy a údržba nemovitého majetku</t>
  </si>
  <si>
    <t>Střelnice Poříčany - vodovodní přípojka</t>
  </si>
  <si>
    <t>P1000 - OOP Přelouč, Pražská 20 - Back office</t>
  </si>
  <si>
    <t>MŘ PČR Brno, Příční 31 - SKPV - vybudování výslechových místností svépomocí</t>
  </si>
  <si>
    <t>P1000 - OOP Valašské Klobouky - rozšíření str.kabeláže, kamer.systému a systému EZS</t>
  </si>
  <si>
    <t>MD13 - OOP Vizovice - rozšíření strukturované kabeláže a systému EZS</t>
  </si>
  <si>
    <t>OOP Kyjov - výkup pozemku č. p. 161/7</t>
  </si>
  <si>
    <t>P1000 - OOP Karlovy Vary - Rybáře, Rolavská 386 - Back office</t>
  </si>
  <si>
    <t>Mikrobusy</t>
  </si>
  <si>
    <t>Státní oblastní archiv v Plzni</t>
  </si>
  <si>
    <t>EZS, EPS, kamerový systém</t>
  </si>
  <si>
    <t>Státní oblastní archiv v Litoměřicích</t>
  </si>
  <si>
    <t>Telefonní ústředny</t>
  </si>
  <si>
    <t>Multifunkční kopírky</t>
  </si>
  <si>
    <t>Státní oblastní archiv v Zámrsku</t>
  </si>
  <si>
    <t>Provozní výdaje ICT - spotřební materiály</t>
  </si>
  <si>
    <t xml:space="preserve">Oprava a údržba ICT </t>
  </si>
  <si>
    <t>Rozšíření stávajícího systému EPS v SOA Zámrsk - II. etapa</t>
  </si>
  <si>
    <t>Moravský zemský archiv v Brně</t>
  </si>
  <si>
    <t>SOkA Uh. Hradiště - kamerový systém ochrany badatelny</t>
  </si>
  <si>
    <t>SOkA Vsetín -  zabezpečení budovy č.p. 252 - 2. patro (EZS, EPS)</t>
  </si>
  <si>
    <t>SOkA Znojmo - montáž a napojení EPS na HZS</t>
  </si>
  <si>
    <t>SOkA Ždár elektronický zabezpečovací systém</t>
  </si>
  <si>
    <t>Obnova a rozšíření výpočetní a komunikační techniky</t>
  </si>
  <si>
    <t>Rekonstrukce EZS synagoga Nový Jičín</t>
  </si>
  <si>
    <t>Technika ICT</t>
  </si>
  <si>
    <t>SOkA Benešov - přenosové zařízení</t>
  </si>
  <si>
    <t>Vnitřní kamerový systém SOkA Tábor</t>
  </si>
  <si>
    <t>Vnější kamerový systém SOkA Tábor</t>
  </si>
  <si>
    <t>Vnitřní kamerový systém SOA v Třeboni</t>
  </si>
  <si>
    <t>Vnitřní kamerový systém SOkA Písek</t>
  </si>
  <si>
    <t>Výpočetní technika pro SOA Třeboň</t>
  </si>
  <si>
    <t>Rozšíření stávajícího systému EZS v SOkA Rychnov nad Kněžnou</t>
  </si>
  <si>
    <t>Dokončení stávajícího systému EPS v SOA Zámrsk - II. etapa</t>
  </si>
  <si>
    <t>SOkA Třebíč - rekonstrukce EZS</t>
  </si>
  <si>
    <t>Pásková knihovna pro SOA v Třeboni</t>
  </si>
  <si>
    <t>Připojení SOkA Pardubice do páteřní počítačové sítě CESNET 2</t>
  </si>
  <si>
    <t>Knižní skener</t>
  </si>
  <si>
    <t>Konsolidace serverů</t>
  </si>
  <si>
    <t>Rozšíření a modernizace kamerového systému</t>
  </si>
  <si>
    <t>Kamerový systém SOkA Beroun</t>
  </si>
  <si>
    <t>Moravský zemský archiv v Brně - výstavba účelových objektů</t>
  </si>
  <si>
    <t>Stavební úpravy Klášter - 1.etapa křídla A1</t>
  </si>
  <si>
    <t>Oprava a údržba - nemovitý majetek</t>
  </si>
  <si>
    <t>Oprava rozvodů vody SOkA České Budějovice</t>
  </si>
  <si>
    <t>Instalace systému automatického uzavírání přívodu vody v ČB</t>
  </si>
  <si>
    <t>Rekonstrukce objektu Klášter u Nepomuka - dokončení objektu A1</t>
  </si>
  <si>
    <t>ČOV pro objekt SOkA Sokolov, rekonstrukce vnější kanalizace</t>
  </si>
  <si>
    <t>Odvlhčení depozitářů SOkA Chomutov</t>
  </si>
  <si>
    <t>Rekonstrukce elektroinstalace SOA Litoměřice</t>
  </si>
  <si>
    <t>Hydroizolace budovy SOkA Boskovice</t>
  </si>
  <si>
    <t>Rekonstrukce střechy SOkA Boskovice</t>
  </si>
  <si>
    <r>
      <t xml:space="preserve">Čerpání v roce 2008 </t>
    </r>
    <r>
      <rPr>
        <sz val="16"/>
        <rFont val="Arial"/>
        <family val="2"/>
      </rPr>
      <t xml:space="preserve"> </t>
    </r>
  </si>
  <si>
    <r>
      <t>Čerpání v roce 2007</t>
    </r>
    <r>
      <rPr>
        <sz val="14"/>
        <rFont val="Arial"/>
        <family val="2"/>
      </rPr>
      <t xml:space="preserve"> 
(vč.
mimorozpoč-tových zdrojů)           bez převodu do rezervního fondu              </t>
    </r>
  </si>
  <si>
    <r>
      <t>celkem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(vč.mimorozpoč-       tových zdrojů                 v r.2008)</t>
    </r>
  </si>
  <si>
    <t>z toho:                     zapojení mimorozpoč-       tových zdrojů</t>
  </si>
  <si>
    <t>P1000 Vnitřní vybavení a nábytek Front Office</t>
  </si>
  <si>
    <t>CZ.1.06/3.4.00/08.xx252 P1000 Vnitřní vybavení a nábytek KKC (Front office)</t>
  </si>
  <si>
    <t>P1000 Vnitřní vybavení - Back office</t>
  </si>
  <si>
    <t>CZ.1.06/3.4.00/08.xx252 P1000 Vnitřní vybavení KKC</t>
  </si>
  <si>
    <t>P1000 Vnitřní vybavení  Back office</t>
  </si>
  <si>
    <t>Mikrobus terénní</t>
  </si>
  <si>
    <t>P1000 MD13 - Úprava zázemí pro policisty - vnitřní vybavení</t>
  </si>
  <si>
    <t>P1000 MD13 Vnitřní vybavení KKC a Back office</t>
  </si>
  <si>
    <t>FKSP - Espresso kávovar</t>
  </si>
  <si>
    <t>P1000 MD13 - Nafukovací motorový člun</t>
  </si>
  <si>
    <t>Stroj kopírovací</t>
  </si>
  <si>
    <t xml:space="preserve">Osobní automobily pro OOD-1 </t>
  </si>
  <si>
    <t xml:space="preserve">Osobní automobily pro OOD-3 </t>
  </si>
  <si>
    <t xml:space="preserve">Osobní automobily pro OOD-4 </t>
  </si>
  <si>
    <t xml:space="preserve">Osobní automobily pro OOD-5 </t>
  </si>
  <si>
    <t xml:space="preserve">Osobní automobily pro OOD-6 </t>
  </si>
  <si>
    <t>Stroje kopírovací digitální s příslušenstvím</t>
  </si>
  <si>
    <t>Plně automatický kávovar</t>
  </si>
  <si>
    <t>Kontejner pro přepravu radioaktivních materiálů</t>
  </si>
  <si>
    <t>Osobní automobily pro NKBT</t>
  </si>
  <si>
    <t>Osobní automobily I.</t>
  </si>
  <si>
    <t>Kriminalistické světlo GOLD PANTHER FAL 2000</t>
  </si>
  <si>
    <t>Osobní automobily II</t>
  </si>
  <si>
    <t>Upgrade systému LUCIA-UCM</t>
  </si>
  <si>
    <t>Plnička klimatizace</t>
  </si>
  <si>
    <t>Modulární bateriový hydraulický vyprošťovací systém</t>
  </si>
  <si>
    <t>P1000 MD13 Manažerská křesla</t>
  </si>
  <si>
    <t>Hudební nástroje koncertní</t>
  </si>
  <si>
    <t>P1000 MD13 Lodní motory</t>
  </si>
  <si>
    <t>P1000 MD13 - Testovací souprava na OPL</t>
  </si>
  <si>
    <t>P1000 MD13 - Spheron</t>
  </si>
  <si>
    <t>Stroje velkokapacitní kopírovací</t>
  </si>
  <si>
    <t>Osobní automobily pro OOD-7</t>
  </si>
  <si>
    <t>Osobní automobily pro OOD-8</t>
  </si>
  <si>
    <t>Osobní automobily pro OOD-9</t>
  </si>
  <si>
    <t>Osobní automobily pro OOD-10</t>
  </si>
  <si>
    <t>Osobní automobily pro ODD-11</t>
  </si>
  <si>
    <t>Osobní automobily pro OOD-12</t>
  </si>
  <si>
    <t>Osobní automobily pro OOD-13</t>
  </si>
  <si>
    <t>Osobní automobily pro OOD-14</t>
  </si>
  <si>
    <t>Mikrobusy silniční</t>
  </si>
  <si>
    <t>PEU - Osobní automobily reprezentativní nad 2500 ccm</t>
  </si>
  <si>
    <t xml:space="preserve">Automobily osobní-reprezentační </t>
  </si>
  <si>
    <t>Automobily osobní - reprezentační</t>
  </si>
  <si>
    <t>PEU - Mikrobusy komerční</t>
  </si>
  <si>
    <t>Vrtulníky lehké hmotnostní kategorie pro zajištění leteckých činností v IZS</t>
  </si>
  <si>
    <t>Pilotní přilby</t>
  </si>
  <si>
    <t>Oprava a údržba leteckého majetku</t>
  </si>
  <si>
    <t>Servisní a obslužná zařízení pro vrtulníky Bell 412</t>
  </si>
  <si>
    <t>6 = 3 : 2</t>
  </si>
  <si>
    <t>8 = 3 : 7</t>
  </si>
  <si>
    <t>9</t>
  </si>
  <si>
    <t>10</t>
  </si>
  <si>
    <t>11</t>
  </si>
  <si>
    <t>12</t>
  </si>
  <si>
    <t>13</t>
  </si>
  <si>
    <t>14</t>
  </si>
  <si>
    <t xml:space="preserve"> Důchody celkem</t>
  </si>
  <si>
    <t>v tom :</t>
  </si>
  <si>
    <t>Důchody starobní</t>
  </si>
  <si>
    <t>Důchody plné invalidní</t>
  </si>
  <si>
    <t xml:space="preserve">Důchody částečně invalidní </t>
  </si>
  <si>
    <t>Důchody vdovské</t>
  </si>
  <si>
    <t>z toho:</t>
  </si>
  <si>
    <t>4a</t>
  </si>
  <si>
    <t xml:space="preserve"> sólo</t>
  </si>
  <si>
    <t>X</t>
  </si>
  <si>
    <t>4b</t>
  </si>
  <si>
    <t>v souběhu</t>
  </si>
  <si>
    <t>Důchody vdovecké</t>
  </si>
  <si>
    <t>5a</t>
  </si>
  <si>
    <t>5b</t>
  </si>
  <si>
    <t>Důchody sirotčí</t>
  </si>
  <si>
    <t>** ve sloupci "Počet nově přiznaných důchodů v roce 2008" nejsou uvedeny převzaté platby  (1 platba)</t>
  </si>
  <si>
    <t>*  ve sloupci "Počet vyplácených důchodů" nejsou uvedeny převzaté platby (rok 2008 - 7plateb, rok 2007 - 6 plateb)</t>
  </si>
  <si>
    <t>Přehled o  ostatních dávkách, dávkách nemocenského pojištění a  výdajích na zvýšení důchodů pro bezmocnost v roce 2008</t>
  </si>
  <si>
    <t xml:space="preserve"> </t>
  </si>
  <si>
    <t xml:space="preserve">Čerpání v roce 2007             </t>
  </si>
  <si>
    <t>Porovnání čerpání 2008/2007     v %            (sl. 5:7)</t>
  </si>
  <si>
    <t>Počet
příjemců  dávky k 31.12. 2008</t>
  </si>
  <si>
    <t>Počet
příjemců dávky k 31.12.2007</t>
  </si>
  <si>
    <t xml:space="preserve">Průměrná výše dávky v roce 2008 (v Kč)      </t>
  </si>
  <si>
    <t xml:space="preserve">Průměrná výše dávky v roce 2007      </t>
  </si>
  <si>
    <t>5=3-4</t>
  </si>
  <si>
    <t>7</t>
  </si>
  <si>
    <t>8</t>
  </si>
  <si>
    <t>Ostatní dávky celkem</t>
  </si>
  <si>
    <t>(účet s předčíslím 3025)</t>
  </si>
  <si>
    <t>Výsluhový příspěvek</t>
  </si>
  <si>
    <t>Platové vyrovnání</t>
  </si>
  <si>
    <t>Úmrtné</t>
  </si>
  <si>
    <t>Odchodné</t>
  </si>
  <si>
    <t>Dávky nemocenského pojištění a výdaje na zvýšení důchodů pro bezmocnost celkem</t>
  </si>
  <si>
    <t>(účet s předčíslím 027)</t>
  </si>
  <si>
    <t>Nemocenské</t>
  </si>
  <si>
    <t>Peněžitá pomoc v mateřství</t>
  </si>
  <si>
    <t>Příspěvek v těhot. a mateřství</t>
  </si>
  <si>
    <t>Zvýšení důchodu pro bezmoc.</t>
  </si>
  <si>
    <t>Dávky jinde nezařazené</t>
  </si>
  <si>
    <t xml:space="preserve">Tabulka č. 11 </t>
  </si>
  <si>
    <t xml:space="preserve">Čerpání v roce 2008 celkem včetně mimorozpoč-tových zdrojů </t>
  </si>
  <si>
    <t>z toho      zapojení      mimorozpoč-       tových zdrojů</t>
  </si>
  <si>
    <t xml:space="preserve">Čerpání             v roce 2008                                </t>
  </si>
  <si>
    <t xml:space="preserve">    skutečnost      2003</t>
  </si>
  <si>
    <t xml:space="preserve">    skutečnost      2004</t>
  </si>
  <si>
    <t xml:space="preserve">     skutečnost      2005</t>
  </si>
  <si>
    <t xml:space="preserve">   skutečnost   2006</t>
  </si>
  <si>
    <t xml:space="preserve">   skutečnost   2007</t>
  </si>
  <si>
    <t xml:space="preserve">  skutečnost   2008</t>
  </si>
  <si>
    <t>SW operační licence NBC-Analysis s modulem HPAC</t>
  </si>
  <si>
    <t>SW Vema personal</t>
  </si>
  <si>
    <t xml:space="preserve">SW Vema  </t>
  </si>
  <si>
    <t>SW upgrade Oracle</t>
  </si>
  <si>
    <t>SW GIS</t>
  </si>
  <si>
    <t>Tiskárna</t>
  </si>
  <si>
    <t>Switch</t>
  </si>
  <si>
    <t>Servery</t>
  </si>
  <si>
    <t>Koncová zařízení systému Pegas</t>
  </si>
  <si>
    <t>Testovací zařízení pro AKU</t>
  </si>
  <si>
    <t>SW datová sada GIS</t>
  </si>
  <si>
    <t>Projekt - elektronická spisová služba</t>
  </si>
  <si>
    <t>PC pro rack Centrum na OPIS</t>
  </si>
  <si>
    <t>Integrace SW svolání JPO do technologie OPIS</t>
  </si>
  <si>
    <t>Integrovaná ovládací jednotka AV techniky</t>
  </si>
  <si>
    <t>Content Management</t>
  </si>
  <si>
    <t>Security Management</t>
  </si>
  <si>
    <t>Elektronická spisová služba</t>
  </si>
  <si>
    <t>Oznamování protiprávní činnosti dětí</t>
  </si>
  <si>
    <t>Ekonomický informační systém MV</t>
  </si>
  <si>
    <t>Ostatní ekonomické informační systémy</t>
  </si>
  <si>
    <t>Licence SAP R/3</t>
  </si>
  <si>
    <t>Radioreléové spoje</t>
  </si>
  <si>
    <t>Pronájem přenosového prostředí pro biometriku</t>
  </si>
  <si>
    <t>Celkem z 214910</t>
  </si>
  <si>
    <t>Celkový součet</t>
  </si>
  <si>
    <t>Hospodářská správa PP ČR</t>
  </si>
  <si>
    <t>Hlasové a datové služby</t>
  </si>
  <si>
    <t>PČR Správa Jihomoravského kraje</t>
  </si>
  <si>
    <t>PČR Správa hl. m. Prahy</t>
  </si>
  <si>
    <t>PČR Správa Středočeského kraje</t>
  </si>
  <si>
    <t>PČR Správa Jihočeského kraje</t>
  </si>
  <si>
    <t>PČR Správa Západočeského kraje</t>
  </si>
  <si>
    <t>PČR Správa Severočeského kraje</t>
  </si>
  <si>
    <t>PČR Správa Východočeského kraje</t>
  </si>
  <si>
    <t>schválený</t>
  </si>
  <si>
    <t>po změnách</t>
  </si>
  <si>
    <t xml:space="preserve">                    tel. 974 849 205                                                 tel. 974 849 816                                                                            </t>
  </si>
  <si>
    <t>Vypracovala: Ing. Meluzinová, tel. 974 849 662</t>
  </si>
  <si>
    <t>SOŠ PO a VOŠ PO Frýdek - Místek</t>
  </si>
  <si>
    <t>Call Centrum</t>
  </si>
  <si>
    <t>Vybavení pracoviště KOPIS</t>
  </si>
  <si>
    <t>Server Oracle</t>
  </si>
  <si>
    <t>Radiostanice Pegas</t>
  </si>
  <si>
    <t>Záložní pracoviště OD Česká Lípa</t>
  </si>
  <si>
    <t>Kamerový systém</t>
  </si>
  <si>
    <t>Záložní CPU do TÚ</t>
  </si>
  <si>
    <t xml:space="preserve">Radiostanice </t>
  </si>
  <si>
    <t>Kamerový a přístupový systém HZS</t>
  </si>
  <si>
    <t>UPS</t>
  </si>
  <si>
    <t>Upgrade technologií PS</t>
  </si>
  <si>
    <t>Rozšíření datové sítě</t>
  </si>
  <si>
    <t>Pořízení switche</t>
  </si>
  <si>
    <t>Aplikační server</t>
  </si>
  <si>
    <t>SW a mapový server</t>
  </si>
  <si>
    <t>Koncentrátor pro obousměrné ovládání sirén</t>
  </si>
  <si>
    <t>Diskové pole</t>
  </si>
  <si>
    <t>Karty digitálních poboček pro TÚ</t>
  </si>
  <si>
    <t>Plzeňský kraj</t>
  </si>
  <si>
    <t>Složky MV - GŔ HZS</t>
  </si>
  <si>
    <t>N</t>
  </si>
  <si>
    <t>Státní oblastní archiv
v Litoměřicích</t>
  </si>
  <si>
    <t>Zpětná projekce</t>
  </si>
  <si>
    <t>Elektronické sirény</t>
  </si>
  <si>
    <t>Pobočková telefonní ústředna</t>
  </si>
  <si>
    <t>Aktivní koncové prvky pro hlas a data</t>
  </si>
  <si>
    <t>Upgrade SW VEMA</t>
  </si>
  <si>
    <t>Pořízení a upgrade informačních a komunikačních technologií</t>
  </si>
  <si>
    <t>Doplnění licencí Microsoft EA</t>
  </si>
  <si>
    <t>Upgrade ISV na KOPIS - modul spojař</t>
  </si>
  <si>
    <t>Upgrade ISV na KOPIS - modul serverů</t>
  </si>
  <si>
    <t>Upgrade ISV na KOPIS - modul strážní knihy strojníka</t>
  </si>
  <si>
    <t>Prvky hlasové a datové komunikace</t>
  </si>
  <si>
    <t>Poštovní server</t>
  </si>
  <si>
    <t>Upgrade ICT KOIST</t>
  </si>
  <si>
    <t>TÚPO - Opravy a údržba movitého majetku - informační a komunikační technologie</t>
  </si>
  <si>
    <t>TÚPO - spotřební materiály</t>
  </si>
  <si>
    <t>TÚPO - pořízení majetku</t>
  </si>
  <si>
    <t>TUPO - výkony spojů</t>
  </si>
  <si>
    <t xml:space="preserve">IOO - Pořízení majetku ICT </t>
  </si>
  <si>
    <t>LÁZEŇSKÉ LÉČEBNÉ ÚSTAVY  MV</t>
  </si>
  <si>
    <t>P</t>
  </si>
  <si>
    <t>P ČR Správa Jihočeského kraje</t>
  </si>
  <si>
    <t>Ž</t>
  </si>
  <si>
    <t>Pardubický kraj</t>
  </si>
  <si>
    <t>K</t>
  </si>
  <si>
    <t>MUZEUM  Policie ČR</t>
  </si>
  <si>
    <r>
      <t xml:space="preserve">2/ </t>
    </r>
    <r>
      <rPr>
        <sz val="10"/>
        <rFont val="Arial CE"/>
        <family val="2"/>
      </rPr>
      <t xml:space="preserve"> Územní pracoviště  OSS MV </t>
    </r>
  </si>
  <si>
    <t xml:space="preserve">Národní archiv
</t>
  </si>
  <si>
    <t xml:space="preserve">Složky MV </t>
  </si>
  <si>
    <t xml:space="preserve">    </t>
  </si>
  <si>
    <t>VPŠ a SPŠ MV  PRAHA</t>
  </si>
  <si>
    <t>VPŠ MV PARDUBICE</t>
  </si>
  <si>
    <r>
      <t xml:space="preserve">3/ </t>
    </r>
    <r>
      <rPr>
        <sz val="10"/>
        <rFont val="Arial CE"/>
        <family val="2"/>
      </rPr>
      <t>Příspěvková organizace odměňující své zaměstnance dle z. č. 262/2006 Sb.</t>
    </r>
  </si>
  <si>
    <t>Á</t>
  </si>
  <si>
    <t>Státní oblastní archiv
v Třeboni</t>
  </si>
  <si>
    <t>Jihočeský kraj</t>
  </si>
  <si>
    <t>Generální ředitelství HZS  ČR</t>
  </si>
  <si>
    <t>Státní oblastní archiv
v Plzni</t>
  </si>
  <si>
    <t>BYTOVÁ SPRÁVA  MV</t>
  </si>
  <si>
    <t>R</t>
  </si>
  <si>
    <t xml:space="preserve">P ČR Správa  Západočeského kraje </t>
  </si>
  <si>
    <t>Y</t>
  </si>
  <si>
    <t>kraj Vysočina</t>
  </si>
  <si>
    <t>SPRÁVA UPRCH. ZAŘÍZENÍ MV</t>
  </si>
  <si>
    <t>TISKÁRNA   MV</t>
  </si>
  <si>
    <t xml:space="preserve">P ČR Správa Severočeského kraje </t>
  </si>
  <si>
    <t>Organizační schéma kapitoly 314 - Ministerstva vnitra s vyjádřením kompetenčního uspořádání mezi</t>
  </si>
  <si>
    <t xml:space="preserve"> MINISTERSTVO</t>
  </si>
  <si>
    <t xml:space="preserve"> VNITRA  ČR</t>
  </si>
  <si>
    <t>ORGANIZAČNÍ</t>
  </si>
  <si>
    <t>1/</t>
  </si>
  <si>
    <t>ORGANIZAČNÍ SLOŽKY</t>
  </si>
  <si>
    <t>OSTATNÍ ORGANIZAČNÍ</t>
  </si>
  <si>
    <t>STÁTNÍ</t>
  </si>
  <si>
    <t>SLOŽKA STÁTU  MV</t>
  </si>
  <si>
    <t>STÁTU - ARCHIVY</t>
  </si>
  <si>
    <t>STÁTU - HZS krajů</t>
  </si>
  <si>
    <t xml:space="preserve"> SLOŽKY STÁTU</t>
  </si>
  <si>
    <t>PŘÍSPĚVKOVÉ  ORGANIZACE</t>
  </si>
  <si>
    <t xml:space="preserve">Jednotlivá územní pracoviště OSS MV
</t>
  </si>
  <si>
    <t>2/</t>
  </si>
  <si>
    <t>S</t>
  </si>
  <si>
    <t xml:space="preserve"> Praha hl.m.</t>
  </si>
  <si>
    <t>Ústřední orgán státní správy</t>
  </si>
  <si>
    <t>T</t>
  </si>
  <si>
    <t>Státní oblastní archiv
v Praze</t>
  </si>
  <si>
    <t>Středočeský kraj</t>
  </si>
  <si>
    <t>Jihomoravský kraj</t>
  </si>
  <si>
    <t xml:space="preserve">INSTITUT pro MS Praha  </t>
  </si>
  <si>
    <t>V</t>
  </si>
  <si>
    <t xml:space="preserve">P ČR Správa Východočeského kraje </t>
  </si>
  <si>
    <t>Zlínský kraj</t>
  </si>
  <si>
    <t>I</t>
  </si>
  <si>
    <t>A</t>
  </si>
  <si>
    <t>P ČR Správa Jihomoravského kraje</t>
  </si>
  <si>
    <t>C</t>
  </si>
  <si>
    <t>Olomoucký kraj</t>
  </si>
  <si>
    <t xml:space="preserve">P ČR Správa Severomoravského kraje </t>
  </si>
  <si>
    <t>E</t>
  </si>
  <si>
    <t>Moravskoslezský kraj</t>
  </si>
  <si>
    <t>ORCN Svojšice</t>
  </si>
  <si>
    <t>Poznámka:</t>
  </si>
  <si>
    <r>
      <t>1/</t>
    </r>
    <r>
      <rPr>
        <sz val="10"/>
        <rFont val="Arial CE"/>
        <family val="2"/>
      </rPr>
      <t xml:space="preserve">  Hospodaří jako organizační složka státu MV</t>
    </r>
  </si>
  <si>
    <t>VPŠ  MV BRNO</t>
  </si>
  <si>
    <t>VPŠ a SPŠ MV  HOLEŠOV</t>
  </si>
  <si>
    <t>VPŠ  MV JIHLAVA</t>
  </si>
  <si>
    <t>SOŠ PO a VOŠ PO Frýdek-Místek</t>
  </si>
  <si>
    <t>ŠKOLSKÉ ÚČEL. ZAŘÍZENÍ MV RUZYNĚ</t>
  </si>
  <si>
    <t>Kapitola: 314 - Ministerstvo vnitra</t>
  </si>
  <si>
    <t xml:space="preserve">Výdaje za oblast archivnictví v roce 2008 </t>
  </si>
  <si>
    <t>v tis. Kč</t>
  </si>
  <si>
    <t xml:space="preserve">                    Mzdové prostředky</t>
  </si>
  <si>
    <t>Povinné pojistné</t>
  </si>
  <si>
    <t>FKSP</t>
  </si>
  <si>
    <t>Ostatní běžné výdaje</t>
  </si>
  <si>
    <t>Výdaje na financování programů</t>
  </si>
  <si>
    <t>Výzkum a vývoj</t>
  </si>
  <si>
    <t>Převod</t>
  </si>
  <si>
    <t>VÝDAJE  CELKEM</t>
  </si>
  <si>
    <t>OSS</t>
  </si>
  <si>
    <t>R1</t>
  </si>
  <si>
    <t>R2</t>
  </si>
  <si>
    <t>čerpání</t>
  </si>
  <si>
    <t>do RF</t>
  </si>
  <si>
    <t>Národní archiv</t>
  </si>
  <si>
    <t>Státní oblastní archiv Praha</t>
  </si>
  <si>
    <t>Státní oblastní archiv Třeboň</t>
  </si>
  <si>
    <t>Státní oblastní archiv Plzeň</t>
  </si>
  <si>
    <t>Státní oblastní archiv Litoměřice</t>
  </si>
  <si>
    <t>Státní oblastní archiv Zámrsk</t>
  </si>
  <si>
    <t>Moravský zemský archiv Brno</t>
  </si>
  <si>
    <t>Zemský archiv Opava</t>
  </si>
  <si>
    <t>nerozepsané prostředky</t>
  </si>
  <si>
    <t>ARCHIVNICTVÍ  CELKEM</t>
  </si>
  <si>
    <t>Legenda:</t>
  </si>
  <si>
    <t>R1 - schválený rozpočet</t>
  </si>
  <si>
    <t>R2 - upravený rozpočet</t>
  </si>
  <si>
    <t>Kontroloval: Ing. Jásenský, tel. 974 849 809</t>
  </si>
  <si>
    <t>Datum: 16. února 2009</t>
  </si>
  <si>
    <t>Přehled čerpání výdajů v roce 2008 dle jednotlivých čtvrtletích</t>
  </si>
  <si>
    <t xml:space="preserve">    Čerpání </t>
  </si>
  <si>
    <t>z toho</t>
  </si>
  <si>
    <t>celkem</t>
  </si>
  <si>
    <t>I. čtvrtletí</t>
  </si>
  <si>
    <t>II. čtvrtletí</t>
  </si>
  <si>
    <t>III. čtvrtletí</t>
  </si>
  <si>
    <t>IV. čtvrtletí</t>
  </si>
  <si>
    <t>OSS, SPO</t>
  </si>
  <si>
    <t xml:space="preserve">% </t>
  </si>
  <si>
    <t>%</t>
  </si>
  <si>
    <t xml:space="preserve">Policie ČR </t>
  </si>
  <si>
    <t>AXB</t>
  </si>
  <si>
    <t>Odbor archiv BS MV</t>
  </si>
  <si>
    <t>Odbor sportu MV</t>
  </si>
  <si>
    <t xml:space="preserve">ms ÚO a OS MV </t>
  </si>
  <si>
    <t xml:space="preserve">GŘ HZS </t>
  </si>
  <si>
    <t>HZS krajů</t>
  </si>
  <si>
    <t xml:space="preserve">ms HZS ČR </t>
  </si>
  <si>
    <t>SOA Praha</t>
  </si>
  <si>
    <t>SOA Třeboň</t>
  </si>
  <si>
    <t>SOA Plzeň</t>
  </si>
  <si>
    <t>SOA Litoměřice</t>
  </si>
  <si>
    <t>SOA Zámrsk</t>
  </si>
  <si>
    <t>MZA Brno</t>
  </si>
  <si>
    <t>ZA Opava</t>
  </si>
  <si>
    <t>ms archivnictví</t>
  </si>
  <si>
    <t>VPŠ a SPŠ MV Praha</t>
  </si>
  <si>
    <t>VPŠ MV Brno</t>
  </si>
  <si>
    <t>VPŠ a SPŠ MV Holešov</t>
  </si>
  <si>
    <t>VPŠ MV Jihlava</t>
  </si>
  <si>
    <t>VPŠ MV Pardubice</t>
  </si>
  <si>
    <t>SF-EU P1000 - Operační střediska - stavební připravenost</t>
  </si>
  <si>
    <t>SF-EU P1000 - Operační střediska - projekty na stavební připravenost</t>
  </si>
  <si>
    <t>SF-EU P1000 - Praha 6, Wintrova - vybudování zázemí pro IS TREST</t>
  </si>
  <si>
    <t>P1000 - Otevřené recepce a zázemí</t>
  </si>
  <si>
    <t>P1000 - Otevření recepce a zázemí</t>
  </si>
  <si>
    <t>P1000 - Zázemí pro policisty</t>
  </si>
  <si>
    <t>P1000 - Otevřené recepce a projekty</t>
  </si>
  <si>
    <t>FKSP - Opravy a údržba nemovitého majetku</t>
  </si>
  <si>
    <t>P1000 - Praha 6, Pelleova 21 - recepce</t>
  </si>
  <si>
    <t>P1000 MD13 - Praha 9, Bohušovická 485/10 - recepce</t>
  </si>
  <si>
    <t>P1000 - Praha 9, Náchodská 618/2032 - recepce</t>
  </si>
  <si>
    <t>P1000 - Praha 4, Kongresová 2/1666 - recepce</t>
  </si>
  <si>
    <t>P1000 - Praha 6, Arabská 783 - recepce</t>
  </si>
  <si>
    <t>P1000 - Praha 1, Krakovská 14/1286 - recepce</t>
  </si>
  <si>
    <t>P1000 - Praha 4, Sdružení 1/1664 - recepce</t>
  </si>
  <si>
    <t>P1000 - Praha 4, U Plynárny 2/972 - recepce</t>
  </si>
  <si>
    <t>P1000 - Praha 4, Soukalova 3408/10 - recepce</t>
  </si>
  <si>
    <t>P1000 - Praha 9, Bryksova 817/50 - recepce</t>
  </si>
  <si>
    <t>P1000 - Praha 3, Lupáčova 1065/11 - recepce</t>
  </si>
  <si>
    <t>P1000 - Výkup části nemovitosti a pozemku pro potřeby OO PČR Šlapanice</t>
  </si>
  <si>
    <t>FKSP - ÚZ Riviéra - dodání a montáž žaluzií</t>
  </si>
  <si>
    <t>P1000 MD13 - OOP Suchdol nad Lužnicí - úprava zázemí pro policisty</t>
  </si>
  <si>
    <t>P1000 - OOP Milevsko - úprava zázemí pro policisty</t>
  </si>
  <si>
    <t>P1000 MD13 - OOP Horní Planá - úprava zázemí pro policisty</t>
  </si>
  <si>
    <t>P1000 - OOP Kamenice nad Lipou - úprava zázemí pro policisty</t>
  </si>
  <si>
    <t>P1000 MD13 - OOP Kaplice, Omlenická 311 - Back office</t>
  </si>
  <si>
    <t>P1000 - OŘP Prachatice - úprava zázemí pro policisty</t>
  </si>
  <si>
    <t>P1000 - OOP Týn nad Vltavou - úprava zázemí pro policisty</t>
  </si>
  <si>
    <t>P1000 MD13 - OOP Tábor , Divadelní 212 - Back office</t>
  </si>
  <si>
    <t>P1000 - OOP Vimperk - úprava zázemí pro policisty</t>
  </si>
  <si>
    <t>P1000 - OŘP Pelhřimov - úprava zázemí pro policisty</t>
  </si>
  <si>
    <t>P1000 - OOP Písek - úprava zázemí pro policisty</t>
  </si>
  <si>
    <t>Praha 6, Pelleova 21 - rozšíření počítačového sálu AFIS</t>
  </si>
  <si>
    <t>P1000 - Opravy a údržba nemovitého majetku BACK OFFICE</t>
  </si>
  <si>
    <t>P1000 - OOP Křivoklát - BACK OFFICE</t>
  </si>
  <si>
    <t>P1000 - OOP Čáslav - BACK OFFICE</t>
  </si>
  <si>
    <t>P1000 - OOP Řevnice - BACK OFFICE</t>
  </si>
  <si>
    <t>P1000 - OOP Jílové u Prahy - BACK OFFICE</t>
  </si>
  <si>
    <t>P1000 - OŘP IZSVD Praha - venkov - BACK OFFICE</t>
  </si>
  <si>
    <t>P1000 - OOP Hradišťko - BACK OFFICE</t>
  </si>
  <si>
    <t>P1000 - OOP Benátky n/Jizerou - BACK OFFICE</t>
  </si>
  <si>
    <t>P1000 - OOP Bělá pod Bezdězem - BACK OFFICE</t>
  </si>
  <si>
    <t>P1000 - DI, SSČ Plzeň-město, U Borského parku 20 - BACK OFFICE</t>
  </si>
  <si>
    <t>P1000 - OOP Hrádek u Rokycan, nám. 8. května 270 - BACK OFFICE</t>
  </si>
  <si>
    <t>P1000 - OOP Nejdek, Bratří Čapků 640 - BACK OFFICE</t>
  </si>
  <si>
    <t>P1000 - OOP Nová Role, U Plynárny 309 - BACK OFFICE</t>
  </si>
  <si>
    <t>P1000 - OOP Toužim, Plzeňská 387 - BACK OFFICE</t>
  </si>
  <si>
    <t>OŘP Svitavy, Purkyňova 1907 - plynofikace a příprava strukturované kabeláže</t>
  </si>
  <si>
    <t xml:space="preserve">Protiplynový kontejner </t>
  </si>
  <si>
    <t xml:space="preserve">Protiplynový automobil </t>
  </si>
  <si>
    <t>Nosič kontejnerů MB ACTROS</t>
  </si>
  <si>
    <t xml:space="preserve">FKSP - opravy a údržba movitého majetku </t>
  </si>
  <si>
    <t>Čistící stroj</t>
  </si>
  <si>
    <t>Automobilová plošina s pracovní výškou do 32 m</t>
  </si>
  <si>
    <t xml:space="preserve">Příspěvek - Rekonstrukce natahovacího zařízení kontejneru </t>
  </si>
  <si>
    <t xml:space="preserve">Příspěvek - Nosič kontejnerů </t>
  </si>
  <si>
    <t>Automobilový žebřík AZ</t>
  </si>
  <si>
    <t>Požární kontejnerový nosič s požárním nákladním kontejnerem</t>
  </si>
  <si>
    <t>Videorekordér s příslušenstvím</t>
  </si>
  <si>
    <t>Velitelský automobil</t>
  </si>
  <si>
    <t>Dopravní automobil</t>
  </si>
  <si>
    <t xml:space="preserve">FKSP - zdravotní a masážní křeslo </t>
  </si>
  <si>
    <t>Stroje, přístroje a zařízení</t>
  </si>
  <si>
    <t>CAS k hašení lesních požárů</t>
  </si>
  <si>
    <t xml:space="preserve">MD13 Zásahové vozidlo CAS v technickém provedení hmotnostní třídy S </t>
  </si>
  <si>
    <t>HS Nošovice - kombinovaný hasící automobil</t>
  </si>
  <si>
    <t xml:space="preserve">Příspěvek - Klimatizační jednotka </t>
  </si>
  <si>
    <t xml:space="preserve">Příspěvek - Osobní automobil (užitkový) </t>
  </si>
  <si>
    <t xml:space="preserve">Příspěvek - Osobní automobil užitkový </t>
  </si>
  <si>
    <t xml:space="preserve">Příspěvek - Automatický defibrilátor </t>
  </si>
  <si>
    <t>Výšková technika s dostupnou výškou minimálně 25 m</t>
  </si>
  <si>
    <t>Izolační vzduchové dýchací přístroje s příslušenstvím</t>
  </si>
  <si>
    <t>Vybavení a úpravy pracoviště ODDCH</t>
  </si>
  <si>
    <t>PU - vybavení jednotek HZS technikou</t>
  </si>
  <si>
    <t>PU - Velitelský automobil detekční</t>
  </si>
  <si>
    <t>PU - Vozidlo speciální motorové požární VEL</t>
  </si>
  <si>
    <t xml:space="preserve">Příspěvek - Kontejner technický </t>
  </si>
  <si>
    <t xml:space="preserve">Příspěvek - Technický prostředek pro naložení osobního automobilu </t>
  </si>
  <si>
    <t>Příspěvek - Doplnění vysokotlakého řezacího a hasícího zařízení</t>
  </si>
  <si>
    <t>Příspěvek - Izolační dýchací přístroj přetlakový</t>
  </si>
  <si>
    <t xml:space="preserve">Příspěvek - Vyšetřovací automobil </t>
  </si>
  <si>
    <t xml:space="preserve">Příspěvek - Pračka na hadice </t>
  </si>
  <si>
    <t xml:space="preserve">Příspěvek - Záchranářská figurína </t>
  </si>
  <si>
    <t xml:space="preserve">Příspěvek - Vybavení jednotek HZS věcnými prostředky </t>
  </si>
  <si>
    <t xml:space="preserve">Příspěvek - Zahradní traktor s příslušenstvím </t>
  </si>
  <si>
    <t xml:space="preserve">Příspěvek - Užitkový automobil </t>
  </si>
  <si>
    <t xml:space="preserve">Příspěvek - Kontejner pro hašení CO2 </t>
  </si>
  <si>
    <t xml:space="preserve">Příspěvek - Rekonstrukce CAS 32 - T815 </t>
  </si>
  <si>
    <t>Odsávač kouře</t>
  </si>
  <si>
    <t xml:space="preserve">Příspěvek - Termokamera </t>
  </si>
  <si>
    <t xml:space="preserve">Příspěvek - Pneumatické zvedací vaky </t>
  </si>
  <si>
    <t xml:space="preserve">Hydraulické vyprošťovací zařízení </t>
  </si>
  <si>
    <t>Elektrický lanový naviják</t>
  </si>
  <si>
    <t xml:space="preserve">Příspěvek - CAS základní kat. S </t>
  </si>
  <si>
    <t>Víceúčelový stroj (zahradní traktor)</t>
  </si>
  <si>
    <t>Cykloergometr</t>
  </si>
  <si>
    <t>Doplnění 4 sad hydraulického vyprošťovacího zařízení</t>
  </si>
  <si>
    <t>Technické prostředky HZS MSK</t>
  </si>
  <si>
    <t>Kontejnerový valník</t>
  </si>
  <si>
    <t>Automobilový žebřík AZ 30</t>
  </si>
  <si>
    <t>Příspěvek - Diagnostické zařízení</t>
  </si>
  <si>
    <t>Příspěvek - Technické zhodnocení PS 12</t>
  </si>
  <si>
    <t>Příspěvek - Hydraulický střihací nástroj</t>
  </si>
  <si>
    <t>Prapor GŘ HZS ČR</t>
  </si>
  <si>
    <t>Skříň na hořlavé kapaliny</t>
  </si>
  <si>
    <t>Laboratorní stůl středový</t>
  </si>
  <si>
    <t>Automobilový žebřík nad 30 m</t>
  </si>
  <si>
    <t xml:space="preserve">Příspěvek - Kalové čerpadlo  </t>
  </si>
  <si>
    <t xml:space="preserve">Příspěvek - Obnova vozového parku </t>
  </si>
  <si>
    <t>Pořízení vyprošťovacího zařízení</t>
  </si>
  <si>
    <t xml:space="preserve">Příspěvek - Technické zhodnocení a dovybavení vozidla TA 4 T 815 4x4 </t>
  </si>
  <si>
    <t>Příspěvek - Vybavení stávajícího člunu Zodiac motorem</t>
  </si>
  <si>
    <t>Modernizace brzd OTA GAZ 3049 BOBR</t>
  </si>
  <si>
    <t>Příspěvek - Pořízení souprav hydraulického vyprošťovacího nářadí</t>
  </si>
  <si>
    <t>Příspěvek - Pořízení malotraktoru</t>
  </si>
  <si>
    <t>Příspěvek - Vyprošťovací navijáky</t>
  </si>
  <si>
    <t>Pracoviště operačního řízení mobilní</t>
  </si>
  <si>
    <t>Podium</t>
  </si>
  <si>
    <t>Sušička, pračka a dávkovač</t>
  </si>
  <si>
    <t>Vyprošťovací technika</t>
  </si>
  <si>
    <t>Automobilní technika GŘ HZS ČR II</t>
  </si>
  <si>
    <t>Přenosná stříkačka</t>
  </si>
  <si>
    <t xml:space="preserve">Osobní automobil (2 ks) </t>
  </si>
  <si>
    <t>Dýchací a testovací technika</t>
  </si>
  <si>
    <t>Vzduchové přetlakové dýchací přístroje</t>
  </si>
  <si>
    <t>Vyprošťovací zařízení</t>
  </si>
  <si>
    <t>Multifunkční digitální kopírovací stroj</t>
  </si>
  <si>
    <t xml:space="preserve">Příspěvek - Ostatní zařízení </t>
  </si>
  <si>
    <t xml:space="preserve">Plnění rozpočtových příjmů  MV dle údajů ČNB k 31.12. 2008 </t>
  </si>
  <si>
    <t>Příjmy z pojistného</t>
  </si>
  <si>
    <t xml:space="preserve">      Příjmy celkem</t>
  </si>
  <si>
    <t>Plnění</t>
  </si>
  <si>
    <t>Rozdíl</t>
  </si>
  <si>
    <t>%plnění k R2</t>
  </si>
  <si>
    <t>b</t>
  </si>
  <si>
    <t>a-b</t>
  </si>
  <si>
    <t>Policie  ČR celkem</t>
  </si>
  <si>
    <t>ústřední orgán</t>
  </si>
  <si>
    <t>OS MV</t>
  </si>
  <si>
    <t>ústřední orgán a OS MV celkem</t>
  </si>
  <si>
    <t>GŘ HZS</t>
  </si>
  <si>
    <t xml:space="preserve">HZS krajů </t>
  </si>
  <si>
    <t>HZS ČR celkem</t>
  </si>
  <si>
    <t>Národní archiv  Praha</t>
  </si>
  <si>
    <t xml:space="preserve">SOA Litoměřice </t>
  </si>
  <si>
    <t>archivnictví celkem</t>
  </si>
  <si>
    <t>VPŠ MV  Brno</t>
  </si>
  <si>
    <t>VPŠ MV  Jihlava</t>
  </si>
  <si>
    <t>VPŠ MV  Pardubice</t>
  </si>
  <si>
    <t>Rezerva celkem</t>
  </si>
  <si>
    <t>Kapitola MV celkem</t>
  </si>
  <si>
    <t>Datum: 20. února 2009</t>
  </si>
  <si>
    <t>Tabulka č. 9/1</t>
  </si>
  <si>
    <t>Plnění rozpočtových příjmů  MV dle údajů ČNB k 31.12.2008 - detail HZS krajů</t>
  </si>
  <si>
    <t>hl. m. Praha</t>
  </si>
  <si>
    <t xml:space="preserve">Kontroloval: Ing. Jásenský, tel. 974 849 809                                  </t>
  </si>
  <si>
    <t>VPŠ a SPŠ MV  Praha</t>
  </si>
  <si>
    <t>Příjmy z rozpočtu EU a finančních mechanismů</t>
  </si>
  <si>
    <t>Ostatní nedaňové příjmy, kapitálové příjmy a přijaté transfery celkem</t>
  </si>
  <si>
    <t>Tabulka č. 10</t>
  </si>
  <si>
    <t>P1000 SKPV Mnichovice, Masarykovo nám. 708 - strukt.kabeláž - BACK OFFICE</t>
  </si>
  <si>
    <t>CZ.1.06/3.4.00/08.xx252 P1000 - OOP Čechtice, nám. Dr. Tyrše 322</t>
  </si>
  <si>
    <t>CZ.1.06/3.4.00/08.xx252 P1000 - SKPV Benešov, Čechova 291</t>
  </si>
  <si>
    <t>CZ.1.06/3.4.00/08.xx252 P1000 - OOP Jesenice 98</t>
  </si>
  <si>
    <t>SOŠ PO a VOŠ PO Frýdek-Místek celkem</t>
  </si>
  <si>
    <t>PČR Správa Východočeského kraje celkem</t>
  </si>
  <si>
    <t>PČR Správa Západočeského kraje celkem</t>
  </si>
  <si>
    <t>Policie ČR celkem</t>
  </si>
  <si>
    <t>OSS MV</t>
  </si>
  <si>
    <t>OSS MV celkem</t>
  </si>
  <si>
    <t>Odbor sportu MV celkem</t>
  </si>
  <si>
    <t>GŘ HZS ČR</t>
  </si>
  <si>
    <t>GŘ HZS ČR celkem</t>
  </si>
  <si>
    <t>Organizační složka státu MV celkem</t>
  </si>
  <si>
    <t>HZS hl. m. Prahy</t>
  </si>
  <si>
    <t>HZS hl. m. Prahy celkem</t>
  </si>
  <si>
    <t>HZS Jihočeského kraje</t>
  </si>
  <si>
    <t>HZS Jihočeského kraje celkem</t>
  </si>
  <si>
    <t>HZS Jihomoravského kraje</t>
  </si>
  <si>
    <t>HZS Jihomoravského kraje celkem</t>
  </si>
  <si>
    <t>HZS Karlovarského kraje</t>
  </si>
  <si>
    <t>HZS Karlovarského kraje celkem</t>
  </si>
  <si>
    <t>HZS kraje Vysočina</t>
  </si>
  <si>
    <t>HZS kraje Vysočina celkem</t>
  </si>
  <si>
    <t>HZS Královéhradeckého kraje</t>
  </si>
  <si>
    <t>HZS Královéhradeckého kraje celkem</t>
  </si>
  <si>
    <t>HZS Libereckého kraje</t>
  </si>
  <si>
    <t>HZS Libereckého kraje celkem</t>
  </si>
  <si>
    <t>HZS Moravskoslezského kraje</t>
  </si>
  <si>
    <t>HZS Moravskoslezského kraje celkem</t>
  </si>
  <si>
    <t>HZS Olomouckého kraje</t>
  </si>
  <si>
    <t>HZS Olomouckého kraje celkem</t>
  </si>
  <si>
    <t>HZS Pardubického kraje</t>
  </si>
  <si>
    <t>HZS Pardubického kraje celkem</t>
  </si>
  <si>
    <t>HZS Plzeňského kraje</t>
  </si>
  <si>
    <t>HZS Plzeňského kraje celkem</t>
  </si>
  <si>
    <t>HZS Středočeského kraje</t>
  </si>
  <si>
    <t>HZS Středočeského kraje celkem</t>
  </si>
  <si>
    <t>HZS Ústeckého kraje</t>
  </si>
  <si>
    <t>HZS Ústeckého kraje celkem</t>
  </si>
  <si>
    <t>HZS Zlínského kraje</t>
  </si>
  <si>
    <t>HZS Zlínského kraje celkem</t>
  </si>
  <si>
    <t>HZS krajů celkem</t>
  </si>
  <si>
    <t>Národní archiv celkem</t>
  </si>
  <si>
    <t>Moravský zemský archiv v Brně celkem</t>
  </si>
  <si>
    <t>Státní oblastní archiv v Litoměřicích celkem</t>
  </si>
  <si>
    <t>Státní oblastní archiv v Plzni celkem</t>
  </si>
  <si>
    <t>Státní oblastní archiv v Praze celkem</t>
  </si>
  <si>
    <t>Státní oblastní archiv v Třeboni celkem</t>
  </si>
  <si>
    <t>Státní oblastní archiv v Zámrsku celkem</t>
  </si>
  <si>
    <t>Zemský archiv v Opavě celkem</t>
  </si>
  <si>
    <t>Archivy celkem</t>
  </si>
  <si>
    <t>VPŠ MV v Brně celkem</t>
  </si>
  <si>
    <t>VPŠ a SPŠ MV v Holešově celkem</t>
  </si>
  <si>
    <t>VPŠ MV v Jihlavě celkem</t>
  </si>
  <si>
    <t>VPŠ MV v Pardubicích celkem</t>
  </si>
  <si>
    <t>VPŠ a SPŠ MV v Praze celkem</t>
  </si>
  <si>
    <t>Školské účelové zařízení MV v Praze - Ruzyni celkem</t>
  </si>
  <si>
    <t>Střední policejní školství celkem</t>
  </si>
  <si>
    <t>Policejní akademie ČR celkem</t>
  </si>
  <si>
    <t>Resortní školství celkem</t>
  </si>
  <si>
    <t>Muzeum Policie ČR celkem</t>
  </si>
  <si>
    <t>Správa uprchlických zařízení MV celkem</t>
  </si>
  <si>
    <t>Organizační složky státu v působnosti MV celkem</t>
  </si>
  <si>
    <t>Bytová správa MV celkem celkem</t>
  </si>
  <si>
    <t>Institut pro místní správu Praha celkem</t>
  </si>
  <si>
    <t>Zařízení služeb pro MV celkem</t>
  </si>
  <si>
    <t>Státní přípsěvkové organizace v působnosti MV</t>
  </si>
  <si>
    <t>Kapitola MV celkem bez přijatých transferů</t>
  </si>
  <si>
    <t>Transfery přijaté z kapitoly MŠMT celkem</t>
  </si>
  <si>
    <t>Kapitola MV celkem včetně přijatých transferů</t>
  </si>
  <si>
    <t>Výdaje účelově určené na financovaní programů reprodukce majektu</t>
  </si>
  <si>
    <t>Ev. č. akce</t>
  </si>
  <si>
    <t>Název akce</t>
  </si>
  <si>
    <t>Účastník</t>
  </si>
  <si>
    <t>Typ akce</t>
  </si>
  <si>
    <t>Zdroj FP</t>
  </si>
  <si>
    <t>Provozní výdaje ICT (spotřební materiály) a movitý majetek ICT</t>
  </si>
  <si>
    <t>Správa uprchlických zařízení MV</t>
  </si>
  <si>
    <t>BVs - SR</t>
  </si>
  <si>
    <t>Provozní výdaje ICT-pronájem za telekom. vedení a výkony spojů</t>
  </si>
  <si>
    <t>Provozní výdaje ICT-školení</t>
  </si>
  <si>
    <t>Provozní výdaje ICT- nákup ostatních služeb</t>
  </si>
  <si>
    <t>Opravy a údržba movitého majetku-informační a komunikační technologie</t>
  </si>
  <si>
    <t>Opravy a údržba movitého majetku</t>
  </si>
  <si>
    <t>Opravy a údržba nemovitého majetku</t>
  </si>
  <si>
    <t>SUZ - Obnova výpočetní techniky a software (PC, tiskárny, notebooky, MS)</t>
  </si>
  <si>
    <t>Nákladní automobil s hydraulickou rukou</t>
  </si>
  <si>
    <t>Pořízení AZ s dostupnou výškou přes 30 m</t>
  </si>
  <si>
    <t>Pořízení CAS speciální k hašení lesních požárů</t>
  </si>
  <si>
    <t>Rekonstrukce CAS 32 speciální T 815</t>
  </si>
  <si>
    <t xml:space="preserve">Pořízení osobního automobilu kombi </t>
  </si>
  <si>
    <t>Pořízení ostatních strojů a zařízení</t>
  </si>
  <si>
    <t>CAS speciální technická</t>
  </si>
  <si>
    <t>Rychlý zásahový automobil pro požární zásah</t>
  </si>
  <si>
    <t>Autobus</t>
  </si>
  <si>
    <t>Pračka a sušička na zásahové oděvy</t>
  </si>
  <si>
    <t xml:space="preserve">Osobní automobil </t>
  </si>
  <si>
    <t>Přenosná motorová stříkačka</t>
  </si>
  <si>
    <t>Kalové čerpadlo</t>
  </si>
  <si>
    <t>Přetlakový ventilátor</t>
  </si>
  <si>
    <t>Kontejnerový nosič včetně kontejnerů</t>
  </si>
  <si>
    <t>CAS základní</t>
  </si>
  <si>
    <t>Technické zhodnocení AZ</t>
  </si>
  <si>
    <t>Vysokotlaký  průtokový dvojnaviják pro HVN Holmatro Core</t>
  </si>
  <si>
    <t>2 x Termokamera</t>
  </si>
  <si>
    <t>UV-VIS Spektrometr</t>
  </si>
  <si>
    <t>Technické zhodnocení mobilní požární techniky</t>
  </si>
  <si>
    <t>Pořízení osobních automobilů</t>
  </si>
  <si>
    <t>Elektrocentrála</t>
  </si>
  <si>
    <t>Ruční membránové čerpadlo na nebezpečné látky</t>
  </si>
  <si>
    <t>Sudové elektrické čerpadlo na nebezpečné látky</t>
  </si>
  <si>
    <t>Univerzální armatura na příruby a potrubí</t>
  </si>
  <si>
    <t>Kompresor pro plnění tlakových láhví</t>
  </si>
  <si>
    <t>Vysouvací žebřík</t>
  </si>
  <si>
    <t>Zvedák na osobní automobily</t>
  </si>
  <si>
    <t>Vzduchové dýchací přístroje</t>
  </si>
  <si>
    <t>Technické zhodnocení AP27</t>
  </si>
  <si>
    <t>Otvírač dveří</t>
  </si>
  <si>
    <t>Osobní automobil silniční - 2 ks</t>
  </si>
  <si>
    <t>Kopírovací zařízení</t>
  </si>
  <si>
    <t>Podlahový mycí stroj</t>
  </si>
  <si>
    <t>Rekonstrukce CAS 20</t>
  </si>
  <si>
    <t>Osobní automobil užitkový - 1 ks</t>
  </si>
  <si>
    <t>Zvedací vaky</t>
  </si>
  <si>
    <t>Vyprošťovací nářadí Holmatro</t>
  </si>
  <si>
    <t>Sušička a pračka na hadice</t>
  </si>
  <si>
    <t>Vyprošťovací nářadí LUKAS</t>
  </si>
  <si>
    <t>Multidetektor</t>
  </si>
  <si>
    <t>Pračka a sušička na ochranné oděvy</t>
  </si>
  <si>
    <t>Lanový naviják - technické zhodnocení CAS 24</t>
  </si>
  <si>
    <t>Rekonstrukce CAS 32</t>
  </si>
  <si>
    <t>Osobní automobil terénní - 1 ks</t>
  </si>
  <si>
    <t>Čerpadlo</t>
  </si>
  <si>
    <t>Protichemický ochranný oblek</t>
  </si>
  <si>
    <t xml:space="preserve">Pořízení CAS </t>
  </si>
  <si>
    <t>Technické prostředky strojní služby</t>
  </si>
  <si>
    <t>Technické prostředky chemické a technické služby</t>
  </si>
  <si>
    <t>Pořízení WAP</t>
  </si>
  <si>
    <t xml:space="preserve">Kontejner velitelsko štábní </t>
  </si>
  <si>
    <t>Automobilový žebřík</t>
  </si>
  <si>
    <t>Technický automobil - 2 ks</t>
  </si>
  <si>
    <t xml:space="preserve">Technické zhodnocení AP 27 </t>
  </si>
  <si>
    <t xml:space="preserve">Technické zhodnocení VYA 14 </t>
  </si>
  <si>
    <t>Protichemické ochranné obleky - 4 ks</t>
  </si>
  <si>
    <t>Automobil pro LS - učiliště PO Náchod</t>
  </si>
  <si>
    <t>Kontejner pro časomíru</t>
  </si>
  <si>
    <t>Vyprošťovací zařízení o pracovním tlaku 63 Mpa</t>
  </si>
  <si>
    <t>Vyprošťovací zařízení o pracovním tlaku 72 Mpa</t>
  </si>
  <si>
    <t>Pořízení osobních automobilů (ojetých)</t>
  </si>
  <si>
    <t>Měřící zařízení vzduchových dýchacích přístrojů</t>
  </si>
  <si>
    <t>Těžký protichemický přetlakový oblek</t>
  </si>
  <si>
    <t>Motorová pohonná jednotka vyprošťovacího zařízení</t>
  </si>
  <si>
    <t>Ruční pumpa k hydraulickému vyprošťovacímu zařízení</t>
  </si>
  <si>
    <t>Kontejnerový nosič včetně kontejneru</t>
  </si>
  <si>
    <t>Kompresor</t>
  </si>
  <si>
    <t>Rekonstrukce AZ 30</t>
  </si>
  <si>
    <t xml:space="preserve">Střihač pedálů </t>
  </si>
  <si>
    <t>Rozpínací válec teleskopický hydraulický</t>
  </si>
  <si>
    <t xml:space="preserve">Zdvíhací vaky vzduchové </t>
  </si>
  <si>
    <t>Kanálové ucpávky vzduchové</t>
  </si>
  <si>
    <t>Měřící zařízení dýchacích přístrojů a přetlakových protichemických oděvů</t>
  </si>
  <si>
    <t xml:space="preserve">Cisternová automobilová stříkačka </t>
  </si>
  <si>
    <t xml:space="preserve">Technické zhodnocení cisternové automobilové stříkačky 32-T815  </t>
  </si>
  <si>
    <t xml:space="preserve">Rychlý zásahový automobil </t>
  </si>
  <si>
    <t xml:space="preserve">Technický automobil chemický + loď s motorem a přívěsem </t>
  </si>
  <si>
    <t xml:space="preserve">Dopravní automobil </t>
  </si>
  <si>
    <t xml:space="preserve">Velitelský automobil </t>
  </si>
  <si>
    <t xml:space="preserve">Osobní  automobil </t>
  </si>
  <si>
    <t>Technický automobil L2 speciální</t>
  </si>
  <si>
    <t xml:space="preserve">Hydraulické vyprošťovací nářadí </t>
  </si>
  <si>
    <t xml:space="preserve">Vysokotlaký čistič </t>
  </si>
  <si>
    <t>Izolační vzduchové dýchací přístroje</t>
  </si>
  <si>
    <t>Dekontaminační sprchy - sada</t>
  </si>
  <si>
    <t>Rekonstrukce CAS</t>
  </si>
  <si>
    <t>Nosič kontejnerů - střední</t>
  </si>
  <si>
    <t>Kontejner technický</t>
  </si>
  <si>
    <t>Ostatní stroje a zařízení</t>
  </si>
  <si>
    <t xml:space="preserve">Rekonstrukce a modernizace CAS 24 T 815 4x4 </t>
  </si>
  <si>
    <t xml:space="preserve">Rekonstrukce a modernizace CAS 32 T 815 </t>
  </si>
  <si>
    <t>Požární plošina PP BRONTO</t>
  </si>
  <si>
    <t xml:space="preserve">Obnova vozového parku </t>
  </si>
  <si>
    <t xml:space="preserve">Termokamery </t>
  </si>
  <si>
    <t>Kompresory k zajištění akceschopnosti MPT</t>
  </si>
  <si>
    <t>USAR - technické dovybavení</t>
  </si>
  <si>
    <t>HS Nošovice - CAS 20</t>
  </si>
  <si>
    <t>HS Nošovice - CAS 40</t>
  </si>
  <si>
    <t xml:space="preserve">HS Nošovice - požární plošina PP 32 </t>
  </si>
  <si>
    <t>HS Nošovice - velitelský automobil</t>
  </si>
  <si>
    <t>HS Nošovice - užitkový automobil</t>
  </si>
  <si>
    <t>HS Nošovice - dopravní automobil</t>
  </si>
  <si>
    <t>HS Nošovice - stroje a zařízení</t>
  </si>
  <si>
    <t>CAS - M2T</t>
  </si>
  <si>
    <t xml:space="preserve">Technický automobil </t>
  </si>
  <si>
    <t>Vyšetřovací automobil</t>
  </si>
  <si>
    <t xml:space="preserve">Velitelský automobil  </t>
  </si>
  <si>
    <t>Požární technika pro HZS krajů</t>
  </si>
  <si>
    <t>Měřící ústtředna ALMENO</t>
  </si>
  <si>
    <t>Vyprošťovací sada Holmatro</t>
  </si>
  <si>
    <t>Termokamera</t>
  </si>
  <si>
    <t>Digitální kamera s možností využití pod hladinou</t>
  </si>
  <si>
    <t>Souprava pro tech.a hloubkové zásahy pod hladinou</t>
  </si>
  <si>
    <t>Protiplynový automobil do 10 t</t>
  </si>
  <si>
    <t>Plynový hasící automobil</t>
  </si>
  <si>
    <t>Pořízení kombinovaného hasícího automobilu</t>
  </si>
  <si>
    <t>Noční vidění kamer - infračervená světla</t>
  </si>
  <si>
    <t>Rozšíření kamerového systému o dva body</t>
  </si>
  <si>
    <t>Vybudování skateparku v Moravských Budějovicích</t>
  </si>
  <si>
    <t>Městský informační a bezpečnostní systém - I. etapa</t>
  </si>
  <si>
    <t>Městský kamerový a dohlížecí systém</t>
  </si>
  <si>
    <t>Automobily osobní terénní</t>
  </si>
  <si>
    <t>Automobily osobní speciální</t>
  </si>
  <si>
    <t>Automobily nákladní skříňové</t>
  </si>
  <si>
    <t>Autobusy do 30 osob</t>
  </si>
  <si>
    <t>PEU - Odstřelovací pušky s příslušenstvím</t>
  </si>
  <si>
    <t>PEU - Mikrobus silniční</t>
  </si>
  <si>
    <t>PEU - Automobily osobní silniční</t>
  </si>
  <si>
    <t>Vybavení OKTE</t>
  </si>
  <si>
    <t>P1000 - Mycí stroj na nádobí</t>
  </si>
  <si>
    <t>Biochemický analyzátor</t>
  </si>
  <si>
    <t>Zdravotnické zařízení</t>
  </si>
  <si>
    <t>SDP pro Schengen (Schengen bus)</t>
  </si>
  <si>
    <t>PEU - osobní automobily silniční do 1500 ccm</t>
  </si>
  <si>
    <t xml:space="preserve">PEU - mikrobus silniční </t>
  </si>
  <si>
    <t>Osobní automobily</t>
  </si>
  <si>
    <t>Osobní automobily - policejní</t>
  </si>
  <si>
    <t>Mikrobus - policejní</t>
  </si>
  <si>
    <t>Nákladní automobil - do 3,5 t</t>
  </si>
  <si>
    <t>Nákladní automobil - skříňový policejní terénní</t>
  </si>
  <si>
    <t>Mikrobus sanitní</t>
  </si>
  <si>
    <t>Oblek ochranný pyrotechnický</t>
  </si>
  <si>
    <t>Vybudování národní centrály SIRENE - bez účasti NFM</t>
  </si>
  <si>
    <t>RTG pojízdné pracoviště</t>
  </si>
  <si>
    <t>RTG mobilní</t>
  </si>
  <si>
    <t>EHP/Norsko-2/MV/2 -  Zlepšení boje proti cizojazyčným zločineckým strukturám</t>
  </si>
  <si>
    <t>SF-EU P1000 - pojízdná pracoviště</t>
  </si>
  <si>
    <t>PEU - Automobily osobní silniční do 1500 ccm - policejní</t>
  </si>
  <si>
    <t>PEU - Automobily osobní silniční od 1500 ccm do 1850 ccm</t>
  </si>
  <si>
    <t>PEU- Autobus nad 30 osob</t>
  </si>
  <si>
    <t>FKSP - Oprava a údržba movitého majetku</t>
  </si>
  <si>
    <t>PEU - Obleky pyrotechnické těžké</t>
  </si>
  <si>
    <t>Automobily osobní silniční</t>
  </si>
  <si>
    <t xml:space="preserve">Oprava a údržba movitého majetku </t>
  </si>
  <si>
    <t>Rekonstrukce radaru</t>
  </si>
  <si>
    <t>Narkotizační puška včetně příslušenství</t>
  </si>
  <si>
    <t>FKSP - Posilovací stroje</t>
  </si>
  <si>
    <t>DAR - Přípojná vozidla za osobní automobil</t>
  </si>
  <si>
    <t>P1000 MD13 Pojízdná pracoviště - služební dopravní prostředky</t>
  </si>
  <si>
    <t>MD13 Motocykly policejní s příslušenstvím</t>
  </si>
  <si>
    <t>P1000 - Čtyřkapilární sekvenátor</t>
  </si>
  <si>
    <t>Automobil nákladní skříňový</t>
  </si>
  <si>
    <t>PEU - Obleky pyrotechnické průzkumné SRS-5</t>
  </si>
  <si>
    <t>PEU - Přikrývky ochranné proti trhavinám OBP-97</t>
  </si>
  <si>
    <t>PEU - Štíty balistické střední s osvětlením</t>
  </si>
  <si>
    <t>PEU - Speciální vozidla s taktickou plošinou</t>
  </si>
  <si>
    <t>PEU - Rentgenový přístroj mobilní</t>
  </si>
  <si>
    <t>PEU - Samopaly včetně příslušenství</t>
  </si>
  <si>
    <t>PEU - Noktovizory</t>
  </si>
  <si>
    <t>PEU - Odstřelovačské pušky s příslušenstvím</t>
  </si>
  <si>
    <t>MD13 Automobily osobní silniční komerční s příslušenstvím</t>
  </si>
  <si>
    <t>DAR - Kamerový endoskop</t>
  </si>
  <si>
    <t>P1000  Osobní automobily pro UCP</t>
  </si>
  <si>
    <t>P1000  Mikrobus komerční pro UCP</t>
  </si>
  <si>
    <t>Sekvenátor</t>
  </si>
  <si>
    <t>CZ.1.06/3.4.00/01.00138 P1000 Mobilní kontaktní a koordinační centra</t>
  </si>
  <si>
    <t>P1000 Mobilní kontaktní a koordinační centra</t>
  </si>
  <si>
    <t>Analytická váha</t>
  </si>
  <si>
    <t>Plnírna vysokotlakých lahví stlačeným vzduchem</t>
  </si>
  <si>
    <t>OPPS Mobilní monitorovací centrum - NA skříňový do 3,5 t</t>
  </si>
  <si>
    <t>CZ0076 EHP/Norsko Zlepšení boje proti cizojazyčným zločineckým strukturám</t>
  </si>
  <si>
    <t>Stroj kopírovací barevný A3</t>
  </si>
  <si>
    <t>Štípací nástavec pro hydr. vyprošťovací zařízení DOOR-RAIDER</t>
  </si>
  <si>
    <t>Taktický radar</t>
  </si>
  <si>
    <t>Zabezpečení požadavků útvarů s celorepublikovou působností</t>
  </si>
  <si>
    <t>Klimatizace do vozidla VW Transporter</t>
  </si>
  <si>
    <t>PEU - Automobil nákladní skříňový do 3,5 t - policejní</t>
  </si>
  <si>
    <t>Chromatograf plynový</t>
  </si>
  <si>
    <t>CZ.1.06/3.4.00/08.xx252 P1000 Vnitřní vybavení a nábytek KKC</t>
  </si>
  <si>
    <t>P1000 Vnitřní vybavení a nábytek Back office</t>
  </si>
  <si>
    <t>Opravy a údržba dohledového systému</t>
  </si>
  <si>
    <t>Zajištění optimálního výkonu systému zpracování dat Omnitracker</t>
  </si>
  <si>
    <t>Analýza procesů HelpDesku</t>
  </si>
  <si>
    <t>Implementace vybraných procesů HelpDesku</t>
  </si>
  <si>
    <t>Opravy a údržba informačních a komunikačních technologií</t>
  </si>
  <si>
    <t>Spotřební materiály a movitý majetek do 3 tis. Kč pro ICT</t>
  </si>
  <si>
    <t>PEU - Předsednictví v Radě EU - pořízení technického vybavení ICT</t>
  </si>
  <si>
    <t>Pořízení koncových zařízení CT</t>
  </si>
  <si>
    <t>Pořízení SW produktů MS Enterprise pro MV ČR</t>
  </si>
  <si>
    <t>Pořízení SW produktů Microsoft Enterprise pro GŘ HZS</t>
  </si>
  <si>
    <t>MVP - HW a SW rozšíření serverového jádra CIS</t>
  </si>
  <si>
    <t>Centrum dopravních informací - III. etapa</t>
  </si>
  <si>
    <t>Plošný antivirový systém pro MV ČR</t>
  </si>
  <si>
    <t>Kapitola : 314 - Ministerstvo vnitra</t>
  </si>
  <si>
    <t>Tabulka č. 9</t>
  </si>
  <si>
    <t>Přehled o důchodech v roce 2008</t>
  </si>
  <si>
    <t>v Kč</t>
  </si>
  <si>
    <t>Druh dávky</t>
  </si>
  <si>
    <t xml:space="preserve">Porovnání čerpání  v roce 2008 s upraveným rozpočtem (R2)             </t>
  </si>
  <si>
    <t xml:space="preserve">Porovnání čerpání          2008/2007             (v %)      </t>
  </si>
  <si>
    <t xml:space="preserve">Počet vyplácených důchodů    *                      </t>
  </si>
  <si>
    <t xml:space="preserve">Průměrná vyplácená výše důchodu                  </t>
  </si>
  <si>
    <t>Počet                                        nově přiznaných důchodů v roce 2008 **</t>
  </si>
  <si>
    <t>z toho : počet nově přiznaných předčasných důchodů</t>
  </si>
  <si>
    <t>v %</t>
  </si>
  <si>
    <t>k 31.12. 2008</t>
  </si>
  <si>
    <t>k 31.12.2007</t>
  </si>
  <si>
    <t xml:space="preserve">  v roce 2008 </t>
  </si>
  <si>
    <t xml:space="preserve"> v roce 2007</t>
  </si>
  <si>
    <t>a</t>
  </si>
  <si>
    <t>5 = 3 - 2</t>
  </si>
  <si>
    <t>v tis. Kč.</t>
  </si>
  <si>
    <t>Název nástroje, programu nebo účelu</t>
  </si>
  <si>
    <t>Číslo řádku v části I.</t>
  </si>
  <si>
    <t>Identifikace nástroje, programu, účelu</t>
  </si>
  <si>
    <t>Schválený rozpočet minulého roku</t>
  </si>
  <si>
    <t>Rozpočet po změnách minulého roku</t>
  </si>
  <si>
    <t>Konečný rozpočet minulého roku</t>
  </si>
  <si>
    <t>Skutečné výdaje minulého roku</t>
  </si>
  <si>
    <t>Rozdíl mezi rozpočtem a skutečností</t>
  </si>
  <si>
    <t>Nároky k 31.12. minulého roku</t>
  </si>
  <si>
    <t>Nároky k 01.01. běžného roku</t>
  </si>
  <si>
    <t>Překročení rozpočtu výdajů</t>
  </si>
  <si>
    <t>Programy a projekty EU</t>
  </si>
  <si>
    <t>Podle rozhodnutí vlády</t>
  </si>
  <si>
    <t>Snížení nároků od 01.01. běžného roku</t>
  </si>
  <si>
    <t>Nároky k poslednímu dni měsíce</t>
  </si>
  <si>
    <t>Komunitární programy</t>
  </si>
  <si>
    <t>0003</t>
  </si>
  <si>
    <t>00000023</t>
  </si>
  <si>
    <t>OP Lidské zdroje a zaměstnanost</t>
  </si>
  <si>
    <t>00000033</t>
  </si>
  <si>
    <t>OP Životní prostředí</t>
  </si>
  <si>
    <t>00000035</t>
  </si>
  <si>
    <t>Integrovaný operační program</t>
  </si>
  <si>
    <t>00000036</t>
  </si>
  <si>
    <t>00000047</t>
  </si>
  <si>
    <t>0004</t>
  </si>
  <si>
    <t>Jiné programy/projekty EU</t>
  </si>
  <si>
    <t>00000046</t>
  </si>
  <si>
    <t>Finanční mechanismy</t>
  </si>
  <si>
    <t>0006</t>
  </si>
  <si>
    <t>00000060</t>
  </si>
  <si>
    <t>0007</t>
  </si>
  <si>
    <t>Rozvoj a obnova MTZ org.služeb MV</t>
  </si>
  <si>
    <t>0009</t>
  </si>
  <si>
    <t>00114040</t>
  </si>
  <si>
    <t>00114050</t>
  </si>
  <si>
    <t>Periodická obnova požární techniky</t>
  </si>
  <si>
    <t>00114230</t>
  </si>
  <si>
    <t>E-government</t>
  </si>
  <si>
    <t>00114410</t>
  </si>
  <si>
    <t>Rozvoj a obnova MTZ systému řízení MV</t>
  </si>
  <si>
    <t>00214010</t>
  </si>
  <si>
    <t>Rozvoj a obnova MTZ školy a tělovýchova</t>
  </si>
  <si>
    <t>00214020</t>
  </si>
  <si>
    <t>Rozvoj a obnova MTZ státních archivů</t>
  </si>
  <si>
    <t>00214030</t>
  </si>
  <si>
    <t>Rozvoj a obnova MTZ Policie ČR</t>
  </si>
  <si>
    <t>00214110</t>
  </si>
  <si>
    <t>Rozvoj a obnova MTZ HZS</t>
  </si>
  <si>
    <t>00214210</t>
  </si>
  <si>
    <t>00214510</t>
  </si>
  <si>
    <t>Výstavba ICT resortu MV</t>
  </si>
  <si>
    <t>00214910</t>
  </si>
  <si>
    <t>Rozvoj a obnova MTZ sportu a tělovýchova</t>
  </si>
  <si>
    <t>00233510</t>
  </si>
  <si>
    <t>Zabezpečení voleb dne 29.3.2008</t>
  </si>
  <si>
    <t>0011</t>
  </si>
  <si>
    <t>08314001</t>
  </si>
  <si>
    <t>Bezpečnostní a biometrické prvky UV.740/2005</t>
  </si>
  <si>
    <t>08314002</t>
  </si>
  <si>
    <t>Bezpečnostních opatření při předsednictví ČR UV.40</t>
  </si>
  <si>
    <t>08314003</t>
  </si>
  <si>
    <t>Prostředky na zapojení občanů ČR do civilních misí</t>
  </si>
  <si>
    <t>08314005</t>
  </si>
  <si>
    <t>Oprava zásahové techniky-hl.m. Praha, HZS Středoče</t>
  </si>
  <si>
    <t>08314006</t>
  </si>
  <si>
    <t>Likvidace následků vichřice Emma</t>
  </si>
  <si>
    <t>08314008</t>
  </si>
  <si>
    <t>Nákup dýchacích přístrojů, HZS hl.m.Prahy</t>
  </si>
  <si>
    <t>08314009</t>
  </si>
  <si>
    <t>Zabezpečení voleb ve dnech 17. a 18.10.2008</t>
  </si>
  <si>
    <t>08314012</t>
  </si>
  <si>
    <t>Prostředky na integraci cizinců</t>
  </si>
  <si>
    <t>08314013</t>
  </si>
  <si>
    <t>Oprava zásahové techniky-HZS  Úst.K. a MS KÚ</t>
  </si>
  <si>
    <t>08314015</t>
  </si>
  <si>
    <t>Školní pomůceky na krizové situace</t>
  </si>
  <si>
    <t>08314016</t>
  </si>
  <si>
    <t>Oprava zásahové techniky-hl.m.Praha</t>
  </si>
  <si>
    <t>08314018</t>
  </si>
  <si>
    <t xml:space="preserve">                                                          </t>
  </si>
  <si>
    <t>Název ukazatele</t>
  </si>
  <si>
    <t>Číslo řádku</t>
  </si>
  <si>
    <t>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</si>
  <si>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</si>
  <si>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</si>
  <si>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</si>
  <si>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</si>
  <si>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</si>
  <si>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</si>
  <si>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</si>
  <si>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</si>
  <si>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</si>
  <si>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Profilující výdaje (A až F)</t>
  </si>
  <si>
    <t>0001</t>
  </si>
  <si>
    <t>A. Prostředky z EU (ř.3+4)</t>
  </si>
  <si>
    <t>0002</t>
  </si>
  <si>
    <t>v tom: národní peněžní prostředky</t>
  </si>
  <si>
    <t xml:space="preserve">          peněžní prostředky od EU</t>
  </si>
  <si>
    <t>B. Finanční mechanismy (ř.6+7)</t>
  </si>
  <si>
    <t>0005</t>
  </si>
  <si>
    <t xml:space="preserve">          peněžní prostředky z f.m.</t>
  </si>
  <si>
    <t>C. Peněžní prostředky od NATO</t>
  </si>
  <si>
    <t>0008</t>
  </si>
  <si>
    <t>D. Programy podle §13, odst.3</t>
  </si>
  <si>
    <t>E. Na výzkum a vývoj</t>
  </si>
  <si>
    <t>0010</t>
  </si>
  <si>
    <t>F. Účelově určené podle §21, odst.3 a 4</t>
  </si>
  <si>
    <t>Neprofilující výdaje</t>
  </si>
  <si>
    <t>0012</t>
  </si>
  <si>
    <t>Celkem (ř.1+12)</t>
  </si>
  <si>
    <t>0013</t>
  </si>
  <si>
    <t>VPŠ a SPŠ MV v Praze</t>
  </si>
  <si>
    <t>Software IT</t>
  </si>
  <si>
    <t>Koncová zařízení IT (DHM IT)</t>
  </si>
  <si>
    <t xml:space="preserve">Audiovizuální a telekomunikační technika </t>
  </si>
  <si>
    <t>Movitý majetek ICT + Provozní výdaje na ICT - SM</t>
  </si>
  <si>
    <t>Opravy a údržba CT + IT</t>
  </si>
  <si>
    <t>Videokonferenční jednotka</t>
  </si>
  <si>
    <t>Laserová síťová tiskárna</t>
  </si>
  <si>
    <t>Provozní výdaje na ICT - nákup služeb IT</t>
  </si>
  <si>
    <t>ŠÚZ MV v Praze - Ruzyni</t>
  </si>
  <si>
    <t>Komunikační technika</t>
  </si>
  <si>
    <t>Majetek ICT movitý (hmot. a nehmot.) prov. výdaje, SM</t>
  </si>
  <si>
    <t>Provozní výdaje na ICT - pronájem a výkon spojů</t>
  </si>
  <si>
    <t>Oprava a údržba majetku ICT</t>
  </si>
  <si>
    <t>Programové vybavení</t>
  </si>
  <si>
    <t>Digitální přenos obrazu</t>
  </si>
  <si>
    <t>Kamera pohyblivá točivá</t>
  </si>
  <si>
    <t>Projektor multimediální</t>
  </si>
  <si>
    <t>Tiskárna laser barevná</t>
  </si>
  <si>
    <t>Pořízení ICT</t>
  </si>
  <si>
    <t>Muzeum Policie ČR</t>
  </si>
  <si>
    <t>Oprava a údržba mov. maj. ICT</t>
  </si>
  <si>
    <t>Provozní výdaje na ICT výkony spojů</t>
  </si>
  <si>
    <t>Provozní výdaje ICT a movitý majetek ICT</t>
  </si>
  <si>
    <t xml:space="preserve">Provozní výdaje na ICT a mov. majetek ICT </t>
  </si>
  <si>
    <t>Oprava a údržba movitého majetku - ICT</t>
  </si>
  <si>
    <t>Nákup nového majetku ICT</t>
  </si>
  <si>
    <t>Provozní výdaje na ICT (spotřební materiály) a na Movitý majetek ICT</t>
  </si>
  <si>
    <t>Rekonstrukce ústředny EZS</t>
  </si>
  <si>
    <t>Zateplení pláště Opatovice</t>
  </si>
  <si>
    <t>Rekonstrukce budovy SPŠ Hrdlořezy č.8</t>
  </si>
  <si>
    <t>Rekonstrukce ubytovny s kuchyní - 2. etapa</t>
  </si>
  <si>
    <t xml:space="preserve">Rekonstrukce venkovních rozvodů el. energie v objektu v Opatovicích </t>
  </si>
  <si>
    <t>Užitkový automobil osobní</t>
  </si>
  <si>
    <t>Klimatizační jednotka, objekt  G</t>
  </si>
  <si>
    <t>Zařízení pro měření veličin parních kotlů</t>
  </si>
  <si>
    <t>Oprava a údržba nemovitého majetku</t>
  </si>
  <si>
    <t>Oprava a údržba movitého majetku</t>
  </si>
  <si>
    <t>Chladící skříň</t>
  </si>
  <si>
    <t>Pánev smažící</t>
  </si>
  <si>
    <t>Fritéza</t>
  </si>
  <si>
    <t>Projekční plátno</t>
  </si>
  <si>
    <t>Mikrobus</t>
  </si>
  <si>
    <t>Cvičný objekt</t>
  </si>
  <si>
    <t>Škrabka brambor a zeleniny</t>
  </si>
  <si>
    <t>Kráječ chleba</t>
  </si>
  <si>
    <t>Nářezový stroj</t>
  </si>
  <si>
    <t>Dvousloupový zvedák</t>
  </si>
  <si>
    <t>Vysokotlaké čistící zařízení</t>
  </si>
  <si>
    <t>Zařízení pro měření geometrie</t>
  </si>
  <si>
    <t>minibus D1 do 16+1</t>
  </si>
  <si>
    <t xml:space="preserve">Podlahový mycí automat pro chodící obsluhu </t>
  </si>
  <si>
    <t>Rozvodna EE - Opatovice n. L.</t>
  </si>
  <si>
    <t>Sklady zbraní a munice - Pardubice</t>
  </si>
  <si>
    <t>Lapol - parkoviště Opatovice n. L.</t>
  </si>
  <si>
    <t>Změna teplonosného média - Opatovice n. L.</t>
  </si>
  <si>
    <t>Dopravní prostředky</t>
  </si>
  <si>
    <t>Kopírovací stroje</t>
  </si>
  <si>
    <t>Malotraktor</t>
  </si>
  <si>
    <t>Tunelová střelnice</t>
  </si>
  <si>
    <t>Služební dopravní prostředky</t>
  </si>
  <si>
    <t>Digitální trenažer tachografu</t>
  </si>
  <si>
    <t>Klimatizace učeben</t>
  </si>
  <si>
    <t>Kuchyňské zařízení</t>
  </si>
  <si>
    <t>Zvláštní výstražné a rozhlasové zařízení</t>
  </si>
  <si>
    <t>Fotoaparát s příslušenstvím</t>
  </si>
  <si>
    <t>Kopírovací stroj</t>
  </si>
  <si>
    <t>Kulturní dům - opona</t>
  </si>
  <si>
    <t>Fotopřístroj digitální</t>
  </si>
  <si>
    <t>Automobil užitkový</t>
  </si>
  <si>
    <t>Oprava a údržba ostat. movitého majetku</t>
  </si>
  <si>
    <t>Rekonstrukce pláště budovy I.</t>
  </si>
  <si>
    <t>Modernizace čerpací stanice PHM - II. etapa</t>
  </si>
  <si>
    <t>Výcvikové středisko Pouště Třešť - směna pozemků s doplatkem</t>
  </si>
  <si>
    <t xml:space="preserve">FKSP - Náhořany RZ - výstavba ČOV </t>
  </si>
  <si>
    <t xml:space="preserve">Otrokovice PS - výstavba odlučovače ropných látek </t>
  </si>
  <si>
    <t xml:space="preserve">Valašské Klobouky PS - výstavba odlučovače ropných látek </t>
  </si>
  <si>
    <t>Valašské Meziříčí PS - rekonstrukce odsávání výfukových plynů</t>
  </si>
  <si>
    <t>Velká Bíteš PS - odsávání výfukových plynů</t>
  </si>
  <si>
    <t>Valašské Klobouky PS - výstavba odsávání výfukových plynů</t>
  </si>
  <si>
    <t>Prostějov CPS - výstavba odsávání výfukových plynů</t>
  </si>
  <si>
    <t>Havlíčkův Brod PS, Žižkova 993 - regulace otopné soustavy a instalace kond.kotlů</t>
  </si>
  <si>
    <t>EA PS Přelouč - audit stavebního projektu</t>
  </si>
  <si>
    <t xml:space="preserve">Blansko PS - opatření z EA </t>
  </si>
  <si>
    <t xml:space="preserve">Nymburk HZS - energetický audit stanice </t>
  </si>
  <si>
    <t xml:space="preserve">Mladá Boleslav, stanice HZS - energetický audit </t>
  </si>
  <si>
    <t xml:space="preserve">Kladno HZS - energetický audit stanice </t>
  </si>
  <si>
    <t>Rýmařov HS - energetický audit</t>
  </si>
  <si>
    <t>OUPO FM - objekt č.22 - opatření z EA</t>
  </si>
  <si>
    <t>OUPO FM - objekt H3 - opatření z EA</t>
  </si>
  <si>
    <t>ZL Olomouc - areál Kamenice - energetický audit</t>
  </si>
  <si>
    <t>Celkem z 214210</t>
  </si>
  <si>
    <t>IS VEGA - D</t>
  </si>
  <si>
    <t>IP kryptografické prostředky pro IS VEGA - D</t>
  </si>
  <si>
    <t>Mobilní komunikační technologie pro mobilní provozovny</t>
  </si>
  <si>
    <t>Servisní a opravárenské pracoviště - notebooky</t>
  </si>
  <si>
    <t>Školení pro provozní a bezpečnostní správce IS Vega - T</t>
  </si>
  <si>
    <t>Celkem z 214510</t>
  </si>
  <si>
    <t>Rozšíření sítě UPON do stanice Kobylisy a Ládví pražského metra</t>
  </si>
  <si>
    <t>Servis mikrovlnných spojů resortu MV pro radiokomunikační systém PEGAS</t>
  </si>
  <si>
    <t>Přenos IP multicastu s obsahem jednání obou komor parlamentu</t>
  </si>
  <si>
    <t>Servis a opravy Dispečer</t>
  </si>
  <si>
    <t>Pozáruční servis přenosových zařízení</t>
  </si>
  <si>
    <t>Provoz internetového uzlu</t>
  </si>
  <si>
    <t>Zabezpečení provozuschopnosti mikrovlnných spojů</t>
  </si>
  <si>
    <t>Výkony spojů</t>
  </si>
  <si>
    <t>Vysílání internetového Radio Vnitro</t>
  </si>
  <si>
    <t>IOO - Provozní výdaje ICT-drobný majetek a materiál</t>
  </si>
  <si>
    <t>IOO - Provozní výdaje ICT-výkony spojů</t>
  </si>
  <si>
    <t>IOO - Provozní výdaje ICT-opravy a údržba movitého majetku</t>
  </si>
  <si>
    <t>OUPO BM - Opravy a údržba movitého majetku - informační a komunikační technologie</t>
  </si>
  <si>
    <t>OUPO BM - spotřební materiály</t>
  </si>
  <si>
    <t>OUPO BM - pořízení majetku</t>
  </si>
  <si>
    <t>OUPO BM - výkony spojů</t>
  </si>
  <si>
    <t>OUPO BM - školení</t>
  </si>
  <si>
    <t>OUPO BO - Opravy a údržba movitého majetku - informační a komunikační technologie</t>
  </si>
  <si>
    <t>OUPO BO - spotřební materiály</t>
  </si>
  <si>
    <t>OUPO BO - pořízení majetku</t>
  </si>
  <si>
    <t>OUPO BO - výkony spojů</t>
  </si>
  <si>
    <t>OUPO CV Pořízení majetku ICT</t>
  </si>
  <si>
    <t>OUPO CV Spotřební materiály</t>
  </si>
  <si>
    <t>OUPO CV Opravy ICT</t>
  </si>
  <si>
    <t>OUPO CV Výkony spojů</t>
  </si>
  <si>
    <t>OUPO FM - Opravy a údržba movitého majetku - informační a komunikační technologie</t>
  </si>
  <si>
    <t>OUPO FM - provozní výdaje ICT - výkony spojů</t>
  </si>
  <si>
    <t xml:space="preserve">OUPO FM - provozní výdaje ICT (spotřební materiály) a movitý majetek ICT </t>
  </si>
  <si>
    <t>OUPO FM - pořízení majetku ICT</t>
  </si>
  <si>
    <t>OZ OL - výkony spojů</t>
  </si>
  <si>
    <t>OZ OL - pořízení majetku</t>
  </si>
  <si>
    <t>OZ OL - movitý majetek a spotřební materiál</t>
  </si>
  <si>
    <t>OZ OL - Opravy a údržba movitého majetku - informační a komunikační technologie</t>
  </si>
  <si>
    <t>OZ OL - školení</t>
  </si>
  <si>
    <t>ZL OL - výkony spojů</t>
  </si>
  <si>
    <t>ZL OL - spotřební materiály</t>
  </si>
  <si>
    <t>ZL OL - opravy a údržba majetku ICT</t>
  </si>
  <si>
    <t xml:space="preserve">ZL OL - pořízení ICT </t>
  </si>
  <si>
    <t>Opravy a údržba komunikačních a informačních technologií</t>
  </si>
  <si>
    <t>Výkony spojů a pronájem telekomunikačního vedení</t>
  </si>
  <si>
    <t>Spotřební materiály a movitý majetek ICT</t>
  </si>
  <si>
    <t>Pořízení majetku ICT</t>
  </si>
  <si>
    <t>Interaktivní tabule</t>
  </si>
  <si>
    <t>Provozní výdaje ICT - pronájem za telekomunikační vedení a výkony spojů</t>
  </si>
  <si>
    <t>Provozní výdaje ICT - kmitočtové spektrum</t>
  </si>
  <si>
    <t>Provozní výdaje ICT (spotřební materiály) a Movitý majetek ICT</t>
  </si>
  <si>
    <t>Nákup prostředků výpočetní techniky</t>
  </si>
  <si>
    <t>Pořízení majetku ICT nad 3000 a 7000 Kč</t>
  </si>
  <si>
    <t>Provozní výdaje ICT - pronájem za telekom.vedení a výkony spojů</t>
  </si>
  <si>
    <t>Provozní výdaje na ICT - Pořízení majetku</t>
  </si>
  <si>
    <t>Pořízení drobného dlouhodobého majetku</t>
  </si>
  <si>
    <t>Oprava a údržba movitého majetku - informační a komunikační technologie</t>
  </si>
  <si>
    <t>Pořízení a obnova majetku</t>
  </si>
  <si>
    <t>Provozní výdaje ICT - pořízení majetku</t>
  </si>
  <si>
    <t>ICT - Pořízení majetku</t>
  </si>
  <si>
    <t>Upgrade IBM Blade systému</t>
  </si>
  <si>
    <t>Bezpečnost počítačové sítě OPIS</t>
  </si>
  <si>
    <t>Bezpečnostní audit GŘ HZS ČR</t>
  </si>
  <si>
    <t>VMWare software</t>
  </si>
  <si>
    <t xml:space="preserve">Příspěvek - Rozšíření licencí serveru pro KOPIS </t>
  </si>
  <si>
    <t xml:space="preserve">Příspěvek - Servery </t>
  </si>
  <si>
    <t>File server</t>
  </si>
  <si>
    <t>Optické propojení budov KŘ</t>
  </si>
  <si>
    <t>Rozšíření kapacity UPS</t>
  </si>
  <si>
    <t>Náhrada centrálního routeru</t>
  </si>
  <si>
    <t>Záložní zdroj UPS pro OPIS Mladá Boleslav</t>
  </si>
  <si>
    <t xml:space="preserve">PU - vybavení jednotek HZS ICT </t>
  </si>
  <si>
    <t xml:space="preserve">PU - Komunikační výbava </t>
  </si>
  <si>
    <t>Upgrade ArcGIS - ArcEditor na ArcInfo</t>
  </si>
  <si>
    <t>Převaděč 160 MHz Rakovník - Pavlíkov</t>
  </si>
  <si>
    <t>Ovládání radiostanic IP technologií</t>
  </si>
  <si>
    <t>Server</t>
  </si>
  <si>
    <t>Technologické servery</t>
  </si>
  <si>
    <t>Technické zhodnocení modulu AMDS Alcatel</t>
  </si>
  <si>
    <t>Upgrade SW Spojař</t>
  </si>
  <si>
    <t xml:space="preserve">Modernizace telefonní ústředny Alcatel Omni PCX </t>
  </si>
  <si>
    <t>PC Tablet</t>
  </si>
  <si>
    <t>Aplikační programové vybavení</t>
  </si>
  <si>
    <t>Aktivní prvky pro optické propojení s PČR</t>
  </si>
  <si>
    <t>Optické propojení s PČR - KŘ HZS</t>
  </si>
  <si>
    <t xml:space="preserve">Switche pro optické propojení </t>
  </si>
  <si>
    <t>Optické propojení HZS ČR a PČR - switche</t>
  </si>
  <si>
    <t>Datová a hlasová síť Hájemství</t>
  </si>
  <si>
    <t>Telefonní ústředna</t>
  </si>
  <si>
    <t xml:space="preserve">Optické propojení HZS MSK a PČR </t>
  </si>
  <si>
    <t>Střihové pracoviště Liquid Chrome</t>
  </si>
  <si>
    <t>Pracoviště GIS</t>
  </si>
  <si>
    <t>Software pro audit počítačových programů</t>
  </si>
  <si>
    <t>Aktivní prvek sítě</t>
  </si>
  <si>
    <t>Vozidlová RDST</t>
  </si>
  <si>
    <t>Vybavení vyhodnocovacího pracoviště na národní úrovni pro vyhodnocování mimoř.událostí</t>
  </si>
  <si>
    <t>Přístupový systém na stanice</t>
  </si>
  <si>
    <t xml:space="preserve">Implementace virtualizovaného prostředí pro provoz serverových systémů v OZ Olomouc </t>
  </si>
  <si>
    <t>Vybudování LAN</t>
  </si>
  <si>
    <t>Upgrade SW SPARK verze 1.2</t>
  </si>
  <si>
    <t xml:space="preserve">AMDS a rozšíření technologie KOPIS </t>
  </si>
  <si>
    <t>Vybavení PS technologií VÝJEZD</t>
  </si>
  <si>
    <t xml:space="preserve">Telefonní ústředna </t>
  </si>
  <si>
    <t>Meteostanice pro monitoring hydrometeorologické situace</t>
  </si>
  <si>
    <t>Rozšíření zpětné projekce pro KOPIS HZS Jmk</t>
  </si>
  <si>
    <t>Pořízení majetku ICT 2</t>
  </si>
  <si>
    <t xml:space="preserve">Příspěvek - Radiostanice Pegas </t>
  </si>
  <si>
    <t>OUPO CV Pořízení majetku ICT 2</t>
  </si>
  <si>
    <t>Technologický server</t>
  </si>
  <si>
    <t>Pořízení projekční sestavy pracoviště ÚKŠ</t>
  </si>
  <si>
    <t>Systém AMDS</t>
  </si>
  <si>
    <t>Napojení SOPIS Tábor na páteřní optickou síť MV</t>
  </si>
  <si>
    <t>SQL Server</t>
  </si>
  <si>
    <t>Pořízení RDST</t>
  </si>
  <si>
    <t>Zálohovací řešení</t>
  </si>
  <si>
    <t xml:space="preserve">Záložní zdroj UPS </t>
  </si>
  <si>
    <t>Tiskárna pro FIN</t>
  </si>
  <si>
    <t>SW ARC GIS</t>
  </si>
  <si>
    <t>Nákup zařízení TANDBERG VCS Expressway</t>
  </si>
  <si>
    <t>ICT technika</t>
  </si>
  <si>
    <t>Router</t>
  </si>
  <si>
    <t>MV</t>
  </si>
  <si>
    <t>kryto příjmem z rozp.EU/EHP</t>
  </si>
  <si>
    <t>Komunitární programy - FIREFIGHT</t>
  </si>
  <si>
    <t>Komunitární programy - EU (Ex Albis)</t>
  </si>
  <si>
    <t>z prostředků EU progr. období 2007-2013 celkem</t>
  </si>
  <si>
    <r>
      <t>Komunitární programy - COUNTERACT</t>
    </r>
    <r>
      <rPr>
        <sz val="8"/>
        <rFont val="Arial"/>
        <family val="2"/>
      </rPr>
      <t xml:space="preserve"> (výzkum a vývoj)</t>
    </r>
  </si>
  <si>
    <t xml:space="preserve"> - OP Lidské zdroje a zaměstnanost (OP LZZ)</t>
  </si>
  <si>
    <t>Vypracoval: Ing. Šlár, tel. 974 849 655, Mgr. Ledvinková, tel. 974 849 805</t>
  </si>
  <si>
    <t>CZ0076 EHP/Norsko-Zlepšení boje proti cizojazyčným zločineckým strukturám</t>
  </si>
  <si>
    <t>BVs - EHP</t>
  </si>
  <si>
    <t>KV - EHP</t>
  </si>
  <si>
    <t>CZ0005 EHP/Norsko - Úpravy IS EVIN</t>
  </si>
  <si>
    <t>EHP/Norsko-2/MV/2 - Zlepšení boje proti cizojazyčným zločineckým strukturám</t>
  </si>
  <si>
    <t>EHP/Norsko-2/MV/1 - Inovace systému na ochranu movitého kulturního dědictví</t>
  </si>
  <si>
    <t>Switche - nad 40 tis. Kč</t>
  </si>
  <si>
    <t>Ostatní provozní výdaje ICT - spotřební materiál</t>
  </si>
  <si>
    <t>Ostatní provozní výdaje ICT - výkony spojů a pronájem telekomunikačního vedení</t>
  </si>
  <si>
    <t>Oprava a údržba ICT - NZT</t>
  </si>
  <si>
    <t>Provozní výdaje ICT(spotřební materiály) + movitý majetek ICT- NZT</t>
  </si>
  <si>
    <t>Oprava a údržba movitého majetku ICT - NZT</t>
  </si>
  <si>
    <t>Provozní výdaje ICT (spotřební materiály) + movitý majetek ICT</t>
  </si>
  <si>
    <t>Ostatní provozní výdaje ICT - spotřební materiál - NZT</t>
  </si>
  <si>
    <t>Ostatní provozní výdaje ICT - výkony spojů - NZT</t>
  </si>
  <si>
    <t>Informační technologie</t>
  </si>
  <si>
    <t>Komunikační technologie</t>
  </si>
  <si>
    <t>Výpočetní technika pro zahraniční mise</t>
  </si>
  <si>
    <t>Oprava a údržba ICT - zabezpečovací technika - ÚZČ</t>
  </si>
  <si>
    <t>Ostatní provozní výdaje ICT - výkony spojů  - ÚZČ</t>
  </si>
  <si>
    <t>Prostředky technického sledování - ÚZČ</t>
  </si>
  <si>
    <t>Odposlech telekomunikací a internetu - ÚZČ</t>
  </si>
  <si>
    <t>Technická podpora SIS</t>
  </si>
  <si>
    <t>Ostatní provozní výdaje - spotřební materiál ÚZČ</t>
  </si>
  <si>
    <t>Oprava a údržba ICT - technická podpora vázaná smlouvou - ostatní služby</t>
  </si>
  <si>
    <t>Ostatní provozní výdaje ICT - ostatní služby ÚZČ</t>
  </si>
  <si>
    <t>Biometrika - Čtecí zařízení</t>
  </si>
  <si>
    <t>Policejní prezídium ČR</t>
  </si>
  <si>
    <t>Úprava Work-flow Sirene (HS PP)</t>
  </si>
  <si>
    <t>SW kancelářský (HS PP)</t>
  </si>
  <si>
    <t>Upgrade AFISu (HS PP)</t>
  </si>
  <si>
    <t>Spojovací systém pro ÚRN - II. etapa (HS PP)</t>
  </si>
  <si>
    <t>Úpravy CIS (HS PP)</t>
  </si>
  <si>
    <t>SF-EU P1000 - HW koncová pracoviště (PC)</t>
  </si>
  <si>
    <t>SF-EU Spolufinancování projektů EU (IOP) - Pulty centralizované ochrany</t>
  </si>
  <si>
    <t>SF-EU Spolufinancování projektů EU (IOP) - Monitoring bezpečnostních rizik</t>
  </si>
  <si>
    <t>SF-EU P1000 - projekt IS TREST</t>
  </si>
  <si>
    <t>SF-EU P1000 - Protikorupční opatření (OSŘI- HS PP</t>
  </si>
  <si>
    <t>SF-EU P1000 - GPS (OSŘI - HS PP)</t>
  </si>
  <si>
    <t xml:space="preserve">SF-EU P1000 - Strukturované kabeláže </t>
  </si>
  <si>
    <t>SF-EU P1000 - Procesní audit</t>
  </si>
  <si>
    <t>SF-EU P1000 - Vzdálený přístup do databází (HS PP)</t>
  </si>
  <si>
    <t>SF-EU P1000 - Navýšení okruhů</t>
  </si>
  <si>
    <t>SF-EU P1000 - VIP-e GATE</t>
  </si>
  <si>
    <t>P1000 - HW koncová pracoviště (PC)</t>
  </si>
  <si>
    <t>P1000 - Změna operačního řízení - OS Plzeň - 2. etapa</t>
  </si>
  <si>
    <t>Pronájem za telekomunikační vedení a výkony spojů</t>
  </si>
  <si>
    <t>Obměna ICT</t>
  </si>
  <si>
    <t>Montážní sady pro vozidlové radiostanice MATRA</t>
  </si>
  <si>
    <t>Software pro PP ČR</t>
  </si>
  <si>
    <t>Spotřební materiály + movitý majetek ICT</t>
  </si>
  <si>
    <t>PC a LCD pro ETŘ</t>
  </si>
  <si>
    <t>P1000 - Spotřební materiály + movitý majetek ICT</t>
  </si>
  <si>
    <t>Výpočetní technika pro ÚOOZ</t>
  </si>
  <si>
    <t>Výpočetní technika - disková pole</t>
  </si>
  <si>
    <t>P1000 MD13 - Pojízdná pracoviště - výpočetní technika</t>
  </si>
  <si>
    <t>P1000 Výpočetní technika pro UCP</t>
  </si>
  <si>
    <t>P1000 - Realizace Back office útvarů 2007</t>
  </si>
  <si>
    <t>P1000 - Realizace Back office útvarů 2008</t>
  </si>
  <si>
    <t>Vybavení pracoviště GIS PP ČR</t>
  </si>
  <si>
    <t>P1000 - Výpočetní technika a tiskárny pro služebny</t>
  </si>
  <si>
    <t>CZ.1.06/3.4.00/08.xx252 P1000 - Výpočetní technika a tiskárny pro služebny</t>
  </si>
  <si>
    <t>2141118091</t>
  </si>
  <si>
    <t>BVs - MRZ SF EU</t>
  </si>
  <si>
    <t>P1000 - LCD panely a DVD přehrávače</t>
  </si>
  <si>
    <t>CZ.1.06/3.4.00/08.xx252 P1000 - LCD panely a DVD přehrávače</t>
  </si>
  <si>
    <t>Teleskopiská tyč s kamerou</t>
  </si>
  <si>
    <t>Software</t>
  </si>
  <si>
    <t>Stravovací systém OŘ Jihlava</t>
  </si>
  <si>
    <t>Aktivní prvky</t>
  </si>
  <si>
    <t>DAR - Obměna ICT</t>
  </si>
  <si>
    <t>P1000 Technická studie proveditelnosti E-GATE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</si>
</sst>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\ @"/>
    <numFmt numFmtId="166" formatCode="dd/mm/yy"/>
    <numFmt numFmtId="167" formatCode="#,##0_ ;[Red]\-#,##0\ "/>
    <numFmt numFmtId="168" formatCode="#,##0.00_ ;[Red]\-#,##0.00\ 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0000"/>
    <numFmt numFmtId="175" formatCode="#,##0.000_ ;[Red]\-#,##0.000\ "/>
  </numFmts>
  <fonts count="119">
    <font>
      <sz val="10"/>
      <name val="Arial CE"/>
      <family val="0"/>
    </font>
    <font>
      <b/>
      <sz val="18"/>
      <name val="AmphionCondensedExtrabold"/>
      <family val="0"/>
    </font>
    <font>
      <sz val="18"/>
      <name val="AmphionCondensedExtrabold"/>
      <family val="0"/>
    </font>
    <font>
      <u val="single"/>
      <sz val="18"/>
      <name val="AmphionCondensedExtrabold"/>
      <family val="0"/>
    </font>
    <font>
      <sz val="11"/>
      <name val="AmphionCondensedExtrabold"/>
      <family val="0"/>
    </font>
    <font>
      <sz val="14"/>
      <name val="AmphionCondensedExtrabold"/>
      <family val="0"/>
    </font>
    <font>
      <u val="single"/>
      <sz val="14"/>
      <name val="AmphionCondensedExtrabold"/>
      <family val="0"/>
    </font>
    <font>
      <sz val="10"/>
      <name val="AmphionCondensedExtrabold"/>
      <family val="0"/>
    </font>
    <font>
      <b/>
      <sz val="16"/>
      <name val="Times New Roman CE"/>
      <family val="1"/>
    </font>
    <font>
      <sz val="10"/>
      <name val="Times New Roman CE"/>
      <family val="1"/>
    </font>
    <font>
      <sz val="11"/>
      <name val="Arial CE"/>
      <family val="0"/>
    </font>
    <font>
      <b/>
      <sz val="18"/>
      <name val="Arial CE"/>
      <family val="0"/>
    </font>
    <font>
      <b/>
      <sz val="11"/>
      <color indexed="21"/>
      <name val="Arial CE"/>
      <family val="2"/>
    </font>
    <font>
      <b/>
      <sz val="11"/>
      <color indexed="61"/>
      <name val="Arial CE"/>
      <family val="0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sz val="12"/>
      <color indexed="16"/>
      <name val="Times New Roman CE"/>
      <family val="1"/>
    </font>
    <font>
      <b/>
      <sz val="10"/>
      <name val="AmphionCondensedExtrabold"/>
      <family val="0"/>
    </font>
    <font>
      <b/>
      <sz val="12"/>
      <name val="Bookman Old Style CE"/>
      <family val="1"/>
    </font>
    <font>
      <b/>
      <sz val="11"/>
      <name val="Century Schoolbook CE"/>
      <family val="0"/>
    </font>
    <font>
      <sz val="11"/>
      <name val="Bookman Old Style CE"/>
      <family val="0"/>
    </font>
    <font>
      <sz val="11"/>
      <color indexed="21"/>
      <name val="Arial CE"/>
      <family val="2"/>
    </font>
    <font>
      <sz val="10"/>
      <color indexed="21"/>
      <name val="Arial CE"/>
      <family val="2"/>
    </font>
    <font>
      <b/>
      <sz val="12"/>
      <color indexed="18"/>
      <name val="Times New Roman CE"/>
      <family val="1"/>
    </font>
    <font>
      <sz val="10"/>
      <color indexed="18"/>
      <name val="Times New Roman CE"/>
      <family val="1"/>
    </font>
    <font>
      <b/>
      <sz val="10"/>
      <color indexed="18"/>
      <name val="Times New Roman CE"/>
      <family val="1"/>
    </font>
    <font>
      <b/>
      <sz val="11"/>
      <color indexed="37"/>
      <name val="Times New Roman CE"/>
      <family val="1"/>
    </font>
    <font>
      <sz val="10"/>
      <color indexed="37"/>
      <name val="Times New Roman CE"/>
      <family val="1"/>
    </font>
    <font>
      <b/>
      <sz val="12"/>
      <color indexed="37"/>
      <name val="Times New Roman CE"/>
      <family val="1"/>
    </font>
    <font>
      <b/>
      <sz val="11"/>
      <color indexed="12"/>
      <name val="Times New Roman CE"/>
      <family val="1"/>
    </font>
    <font>
      <b/>
      <sz val="14"/>
      <color indexed="39"/>
      <name val="Times New Roman CE"/>
      <family val="1"/>
    </font>
    <font>
      <b/>
      <sz val="10"/>
      <color indexed="39"/>
      <name val="Times New Roman CE"/>
      <family val="1"/>
    </font>
    <font>
      <b/>
      <sz val="12"/>
      <color indexed="39"/>
      <name val="Times New Roman CE"/>
      <family val="1"/>
    </font>
    <font>
      <i/>
      <sz val="10"/>
      <name val="Times New Roman CE"/>
      <family val="1"/>
    </font>
    <font>
      <b/>
      <sz val="10"/>
      <color indexed="32"/>
      <name val="Times New Roman CE"/>
      <family val="1"/>
    </font>
    <font>
      <sz val="10"/>
      <color indexed="16"/>
      <name val="Times New Roman CE"/>
      <family val="1"/>
    </font>
    <font>
      <sz val="12"/>
      <name val="Times New Roman CE"/>
      <family val="1"/>
    </font>
    <font>
      <b/>
      <sz val="10"/>
      <color indexed="25"/>
      <name val="Times New Roman CE"/>
      <family val="1"/>
    </font>
    <font>
      <sz val="10"/>
      <color indexed="25"/>
      <name val="Times New Roman CE"/>
      <family val="1"/>
    </font>
    <font>
      <b/>
      <sz val="9"/>
      <color indexed="25"/>
      <name val="Times New Roman CE"/>
      <family val="1"/>
    </font>
    <font>
      <sz val="10"/>
      <color indexed="16"/>
      <name val="Arial CE"/>
      <family val="0"/>
    </font>
    <font>
      <u val="single"/>
      <sz val="10"/>
      <name val="Arial CE"/>
      <family val="2"/>
    </font>
    <font>
      <sz val="10"/>
      <name val="Arial Narrow CE"/>
      <family val="2"/>
    </font>
    <font>
      <i/>
      <sz val="10"/>
      <name val="Arial CE"/>
      <family val="0"/>
    </font>
    <font>
      <b/>
      <sz val="10"/>
      <name val="Arial CE"/>
      <family val="2"/>
    </font>
    <font>
      <b/>
      <u val="single"/>
      <sz val="18"/>
      <name val="AmphionCondensedExtrabold"/>
      <family val="0"/>
    </font>
    <font>
      <sz val="11"/>
      <name val="Arial Narrow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9"/>
      <name val="Arial"/>
      <family val="2"/>
    </font>
    <font>
      <sz val="12"/>
      <name val="Arial"/>
      <family val="2"/>
    </font>
    <font>
      <sz val="12"/>
      <color indexed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 CE"/>
      <family val="1"/>
    </font>
    <font>
      <b/>
      <sz val="11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 CE"/>
      <family val="0"/>
    </font>
    <font>
      <b/>
      <sz val="11"/>
      <name val="Arial CE"/>
      <family val="2"/>
    </font>
    <font>
      <b/>
      <sz val="8"/>
      <name val="Arial CE"/>
      <family val="2"/>
    </font>
    <font>
      <sz val="11"/>
      <name val="Arial"/>
      <family val="0"/>
    </font>
    <font>
      <b/>
      <vertAlign val="superscript"/>
      <sz val="11"/>
      <name val="Arial CE"/>
      <family val="0"/>
    </font>
    <font>
      <vertAlign val="superscript"/>
      <sz val="11"/>
      <name val="Arial CE"/>
      <family val="0"/>
    </font>
    <font>
      <sz val="14"/>
      <name val="Arial CE"/>
      <family val="0"/>
    </font>
    <font>
      <sz val="14"/>
      <name val="Arial"/>
      <family val="2"/>
    </font>
    <font>
      <sz val="14"/>
      <name val="Times New Roman CE"/>
      <family val="1"/>
    </font>
    <font>
      <sz val="12"/>
      <name val="Arial CE"/>
      <family val="0"/>
    </font>
    <font>
      <b/>
      <sz val="14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b/>
      <sz val="16"/>
      <name val="Arial CE"/>
      <family val="2"/>
    </font>
    <font>
      <sz val="18"/>
      <name val="Arial CE"/>
      <family val="2"/>
    </font>
    <font>
      <u val="single"/>
      <sz val="14"/>
      <name val="Arial CE"/>
      <family val="2"/>
    </font>
    <font>
      <sz val="9"/>
      <name val="Arial CE"/>
      <family val="0"/>
    </font>
    <font>
      <b/>
      <sz val="13"/>
      <name val="Arial"/>
      <family val="2"/>
    </font>
    <font>
      <b/>
      <sz val="18"/>
      <color indexed="39"/>
      <name val="Arial"/>
      <family val="2"/>
    </font>
    <font>
      <sz val="18"/>
      <color indexed="39"/>
      <name val="Arial"/>
      <family val="2"/>
    </font>
    <font>
      <sz val="20"/>
      <color indexed="39"/>
      <name val="Arial"/>
      <family val="2"/>
    </font>
    <font>
      <sz val="11"/>
      <color indexed="39"/>
      <name val="Arial"/>
      <family val="2"/>
    </font>
    <font>
      <u val="single"/>
      <sz val="18"/>
      <color indexed="39"/>
      <name val="Arial"/>
      <family val="2"/>
    </font>
    <font>
      <u val="single"/>
      <sz val="20"/>
      <color indexed="39"/>
      <name val="Arial"/>
      <family val="2"/>
    </font>
    <font>
      <sz val="22"/>
      <name val="Arial"/>
      <family val="2"/>
    </font>
    <font>
      <b/>
      <sz val="12"/>
      <color indexed="12"/>
      <name val="Arial"/>
      <family val="2"/>
    </font>
    <font>
      <b/>
      <sz val="12"/>
      <color indexed="18"/>
      <name val="Arial"/>
      <family val="2"/>
    </font>
    <font>
      <b/>
      <sz val="16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21"/>
      <name val="Arial CE"/>
      <family val="2"/>
    </font>
    <font>
      <b/>
      <sz val="12"/>
      <color indexed="61"/>
      <name val="Arial CE"/>
      <family val="0"/>
    </font>
    <font>
      <b/>
      <sz val="12"/>
      <name val="AmphionCondensedExtrabold"/>
      <family val="0"/>
    </font>
    <font>
      <b/>
      <sz val="12"/>
      <name val="Times New Roman CE"/>
      <family val="1"/>
    </font>
    <font>
      <sz val="12"/>
      <name val="AmphionCondensedExtrabold"/>
      <family val="0"/>
    </font>
    <font>
      <b/>
      <sz val="12"/>
      <color indexed="8"/>
      <name val="Times New Roman CE"/>
      <family val="1"/>
    </font>
    <font>
      <b/>
      <sz val="12"/>
      <color indexed="16"/>
      <name val="AmphionCondensedExtrabold"/>
      <family val="0"/>
    </font>
    <font>
      <b/>
      <sz val="12"/>
      <color indexed="8"/>
      <name val="AmphionCondensedExtrabold"/>
      <family val="0"/>
    </font>
    <font>
      <b/>
      <sz val="18"/>
      <name val="Arial"/>
      <family val="2"/>
    </font>
    <font>
      <b/>
      <sz val="18"/>
      <color indexed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u val="single"/>
      <sz val="14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i/>
      <sz val="14"/>
      <color indexed="9"/>
      <name val="Arial"/>
      <family val="2"/>
    </font>
    <font>
      <sz val="14"/>
      <color indexed="10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sz val="16"/>
      <name val="Arial CE"/>
      <family val="0"/>
    </font>
    <font>
      <b/>
      <sz val="22"/>
      <name val="Arial"/>
      <family val="2"/>
    </font>
    <font>
      <b/>
      <i/>
      <sz val="16"/>
      <name val="Arial"/>
      <family val="2"/>
    </font>
    <font>
      <b/>
      <sz val="16"/>
      <color indexed="9"/>
      <name val="Arial"/>
      <family val="2"/>
    </font>
    <font>
      <sz val="18"/>
      <name val="Arial"/>
      <family val="2"/>
    </font>
    <font>
      <b/>
      <i/>
      <sz val="10"/>
      <name val="Arial CE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5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medium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medium">
        <color indexed="6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24"/>
      </left>
      <right>
        <color indexed="63"/>
      </right>
      <top style="medium">
        <color indexed="24"/>
      </top>
      <bottom style="medium">
        <color indexed="24"/>
      </bottom>
    </border>
    <border>
      <left>
        <color indexed="63"/>
      </left>
      <right>
        <color indexed="63"/>
      </right>
      <top style="medium">
        <color indexed="24"/>
      </top>
      <bottom style="medium">
        <color indexed="24"/>
      </bottom>
    </border>
    <border>
      <left>
        <color indexed="63"/>
      </left>
      <right style="medium">
        <color indexed="24"/>
      </right>
      <top style="medium">
        <color indexed="24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>
        <color indexed="46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>
        <color indexed="63"/>
      </right>
      <top style="medium">
        <color indexed="46"/>
      </top>
      <bottom style="medium">
        <color indexed="46"/>
      </bottom>
    </border>
    <border>
      <left>
        <color indexed="63"/>
      </left>
      <right style="medium">
        <color indexed="46"/>
      </right>
      <top style="medium">
        <color indexed="46"/>
      </top>
      <bottom style="medium">
        <color indexed="46"/>
      </bottom>
    </border>
    <border>
      <left>
        <color indexed="63"/>
      </left>
      <right>
        <color indexed="63"/>
      </right>
      <top style="medium">
        <color indexed="50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50"/>
      </left>
      <right>
        <color indexed="63"/>
      </right>
      <top style="medium">
        <color indexed="50"/>
      </top>
      <bottom style="medium">
        <color indexed="50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3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8" fillId="2" borderId="3" xfId="0" applyFont="1" applyFill="1" applyBorder="1" applyAlignment="1">
      <alignment horizontal="centerContinuous"/>
    </xf>
    <xf numFmtId="0" fontId="9" fillId="2" borderId="4" xfId="0" applyFont="1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0" fillId="0" borderId="3" xfId="0" applyFont="1" applyBorder="1" applyAlignment="1">
      <alignment horizontal="centerContinuous"/>
    </xf>
    <xf numFmtId="0" fontId="7" fillId="0" borderId="5" xfId="0" applyFont="1" applyBorder="1" applyAlignment="1">
      <alignment/>
    </xf>
    <xf numFmtId="0" fontId="7" fillId="0" borderId="3" xfId="0" applyFont="1" applyBorder="1" applyAlignment="1">
      <alignment/>
    </xf>
    <xf numFmtId="0" fontId="1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6" xfId="0" applyFont="1" applyFill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4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9" fillId="0" borderId="0" xfId="0" applyFont="1" applyAlignment="1">
      <alignment/>
    </xf>
    <xf numFmtId="0" fontId="16" fillId="4" borderId="7" xfId="0" applyFont="1" applyFill="1" applyBorder="1" applyAlignment="1">
      <alignment horizontal="centerContinuous"/>
    </xf>
    <xf numFmtId="0" fontId="17" fillId="0" borderId="0" xfId="0" applyFont="1" applyAlignment="1">
      <alignment/>
    </xf>
    <xf numFmtId="0" fontId="0" fillId="3" borderId="8" xfId="0" applyFill="1" applyBorder="1" applyAlignment="1">
      <alignment/>
    </xf>
    <xf numFmtId="0" fontId="18" fillId="5" borderId="3" xfId="0" applyFont="1" applyFill="1" applyBorder="1" applyAlignment="1">
      <alignment horizontal="centerContinuous"/>
    </xf>
    <xf numFmtId="0" fontId="18" fillId="5" borderId="4" xfId="0" applyFont="1" applyFill="1" applyBorder="1" applyAlignment="1">
      <alignment horizontal="centerContinuous"/>
    </xf>
    <xf numFmtId="0" fontId="7" fillId="3" borderId="8" xfId="0" applyFont="1" applyFill="1" applyBorder="1" applyAlignment="1">
      <alignment/>
    </xf>
    <xf numFmtId="0" fontId="1" fillId="3" borderId="0" xfId="0" applyFont="1" applyFill="1" applyAlignment="1">
      <alignment horizontal="center"/>
    </xf>
    <xf numFmtId="0" fontId="19" fillId="2" borderId="9" xfId="0" applyFont="1" applyFill="1" applyBorder="1" applyAlignment="1">
      <alignment horizontal="centerContinuous" wrapText="1"/>
    </xf>
    <xf numFmtId="0" fontId="20" fillId="2" borderId="0" xfId="0" applyFont="1" applyFill="1" applyAlignment="1">
      <alignment horizontal="centerContinuous"/>
    </xf>
    <xf numFmtId="0" fontId="20" fillId="2" borderId="6" xfId="0" applyFont="1" applyFill="1" applyBorder="1" applyAlignment="1">
      <alignment horizontal="centerContinuous"/>
    </xf>
    <xf numFmtId="0" fontId="0" fillId="2" borderId="10" xfId="0" applyFill="1" applyBorder="1" applyAlignment="1">
      <alignment horizontal="centerContinuous"/>
    </xf>
    <xf numFmtId="0" fontId="10" fillId="3" borderId="0" xfId="0" applyFont="1" applyFill="1" applyAlignment="1">
      <alignment/>
    </xf>
    <xf numFmtId="0" fontId="21" fillId="3" borderId="11" xfId="0" applyFont="1" applyFill="1" applyBorder="1" applyAlignment="1">
      <alignment horizontal="centerContinuous"/>
    </xf>
    <xf numFmtId="0" fontId="22" fillId="3" borderId="0" xfId="0" applyFont="1" applyFill="1" applyAlignment="1">
      <alignment/>
    </xf>
    <xf numFmtId="0" fontId="10" fillId="3" borderId="11" xfId="0" applyFont="1" applyFill="1" applyBorder="1" applyAlignment="1">
      <alignment horizontal="centerContinuous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12" fillId="0" borderId="12" xfId="0" applyFont="1" applyFill="1" applyBorder="1" applyAlignment="1">
      <alignment horizontal="centerContinuous" wrapText="1"/>
    </xf>
    <xf numFmtId="0" fontId="22" fillId="0" borderId="13" xfId="0" applyFont="1" applyBorder="1" applyAlignment="1">
      <alignment horizontal="centerContinuous"/>
    </xf>
    <xf numFmtId="0" fontId="13" fillId="0" borderId="12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3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9" fillId="4" borderId="16" xfId="0" applyFont="1" applyFill="1" applyBorder="1" applyAlignment="1">
      <alignment/>
    </xf>
    <xf numFmtId="0" fontId="25" fillId="0" borderId="17" xfId="0" applyFont="1" applyBorder="1" applyAlignment="1">
      <alignment horizontal="centerContinuous"/>
    </xf>
    <xf numFmtId="0" fontId="25" fillId="0" borderId="18" xfId="0" applyFont="1" applyBorder="1" applyAlignment="1">
      <alignment horizontal="centerContinuous"/>
    </xf>
    <xf numFmtId="0" fontId="25" fillId="0" borderId="19" xfId="0" applyFont="1" applyBorder="1" applyAlignment="1">
      <alignment horizontal="centerContinuous"/>
    </xf>
    <xf numFmtId="0" fontId="9" fillId="0" borderId="6" xfId="0" applyFont="1" applyBorder="1" applyAlignment="1">
      <alignment/>
    </xf>
    <xf numFmtId="0" fontId="26" fillId="4" borderId="20" xfId="0" applyFont="1" applyFill="1" applyBorder="1" applyAlignment="1">
      <alignment/>
    </xf>
    <xf numFmtId="0" fontId="27" fillId="4" borderId="3" xfId="0" applyFont="1" applyFill="1" applyBorder="1" applyAlignment="1">
      <alignment/>
    </xf>
    <xf numFmtId="0" fontId="27" fillId="4" borderId="4" xfId="0" applyFont="1" applyFill="1" applyBorder="1" applyAlignment="1">
      <alignment/>
    </xf>
    <xf numFmtId="0" fontId="25" fillId="0" borderId="0" xfId="0" applyFont="1" applyBorder="1" applyAlignment="1">
      <alignment horizontal="centerContinuous"/>
    </xf>
    <xf numFmtId="0" fontId="25" fillId="0" borderId="6" xfId="0" applyFont="1" applyBorder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9" fillId="2" borderId="6" xfId="0" applyFont="1" applyFill="1" applyBorder="1" applyAlignment="1">
      <alignment horizontal="centerContinuous"/>
    </xf>
    <xf numFmtId="0" fontId="25" fillId="0" borderId="21" xfId="0" applyFont="1" applyBorder="1" applyAlignment="1">
      <alignment horizontal="centerContinuous"/>
    </xf>
    <xf numFmtId="0" fontId="25" fillId="0" borderId="22" xfId="0" applyFont="1" applyBorder="1" applyAlignment="1">
      <alignment horizontal="centerContinuous"/>
    </xf>
    <xf numFmtId="0" fontId="25" fillId="0" borderId="23" xfId="0" applyFont="1" applyBorder="1" applyAlignment="1">
      <alignment horizontal="centerContinuous"/>
    </xf>
    <xf numFmtId="0" fontId="28" fillId="6" borderId="0" xfId="0" applyFont="1" applyFill="1" applyBorder="1" applyAlignment="1">
      <alignment horizontal="centerContinuous"/>
    </xf>
    <xf numFmtId="0" fontId="9" fillId="6" borderId="6" xfId="0" applyFont="1" applyFill="1" applyBorder="1" applyAlignment="1">
      <alignment horizontal="centerContinuous"/>
    </xf>
    <xf numFmtId="0" fontId="9" fillId="6" borderId="0" xfId="0" applyFont="1" applyFill="1" applyBorder="1" applyAlignment="1">
      <alignment horizontal="centerContinuous"/>
    </xf>
    <xf numFmtId="0" fontId="25" fillId="0" borderId="24" xfId="0" applyFont="1" applyBorder="1" applyAlignment="1">
      <alignment horizontal="centerContinuous"/>
    </xf>
    <xf numFmtId="0" fontId="25" fillId="0" borderId="15" xfId="0" applyFont="1" applyBorder="1" applyAlignment="1">
      <alignment horizontal="centerContinuous"/>
    </xf>
    <xf numFmtId="0" fontId="9" fillId="5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4" borderId="3" xfId="0" applyFont="1" applyFill="1" applyBorder="1" applyAlignment="1">
      <alignment/>
    </xf>
    <xf numFmtId="0" fontId="9" fillId="4" borderId="4" xfId="0" applyFont="1" applyFill="1" applyBorder="1" applyAlignment="1">
      <alignment/>
    </xf>
    <xf numFmtId="0" fontId="7" fillId="2" borderId="0" xfId="0" applyFont="1" applyFill="1" applyAlignment="1">
      <alignment/>
    </xf>
    <xf numFmtId="0" fontId="7" fillId="2" borderId="25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14" fillId="3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2" borderId="26" xfId="0" applyFont="1" applyFill="1" applyBorder="1" applyAlignment="1">
      <alignment/>
    </xf>
    <xf numFmtId="0" fontId="29" fillId="3" borderId="9" xfId="0" applyFont="1" applyFill="1" applyBorder="1" applyAlignment="1">
      <alignment textRotation="255"/>
    </xf>
    <xf numFmtId="0" fontId="0" fillId="7" borderId="9" xfId="0" applyFill="1" applyBorder="1" applyAlignment="1">
      <alignment/>
    </xf>
    <xf numFmtId="0" fontId="30" fillId="0" borderId="27" xfId="0" applyFont="1" applyFill="1" applyBorder="1" applyAlignment="1">
      <alignment horizontal="centerContinuous"/>
    </xf>
    <xf numFmtId="0" fontId="31" fillId="0" borderId="28" xfId="0" applyFont="1" applyFill="1" applyBorder="1" applyAlignment="1">
      <alignment horizontal="centerContinuous"/>
    </xf>
    <xf numFmtId="0" fontId="9" fillId="0" borderId="28" xfId="0" applyFont="1" applyFill="1" applyBorder="1" applyAlignment="1">
      <alignment horizontal="centerContinuous"/>
    </xf>
    <xf numFmtId="0" fontId="9" fillId="0" borderId="29" xfId="0" applyFont="1" applyFill="1" applyBorder="1" applyAlignment="1">
      <alignment horizontal="centerContinuous"/>
    </xf>
    <xf numFmtId="0" fontId="9" fillId="7" borderId="10" xfId="0" applyFont="1" applyFill="1" applyBorder="1" applyAlignment="1">
      <alignment/>
    </xf>
    <xf numFmtId="0" fontId="29" fillId="8" borderId="30" xfId="0" applyFont="1" applyFill="1" applyBorder="1" applyAlignment="1">
      <alignment textRotation="255"/>
    </xf>
    <xf numFmtId="0" fontId="25" fillId="0" borderId="0" xfId="0" applyFont="1" applyAlignment="1">
      <alignment horizontal="centerContinuous"/>
    </xf>
    <xf numFmtId="0" fontId="31" fillId="7" borderId="0" xfId="0" applyFont="1" applyFill="1" applyAlignment="1">
      <alignment horizontal="centerContinuous"/>
    </xf>
    <xf numFmtId="0" fontId="31" fillId="7" borderId="6" xfId="0" applyFont="1" applyFill="1" applyBorder="1" applyAlignment="1">
      <alignment horizontal="centerContinuous"/>
    </xf>
    <xf numFmtId="0" fontId="9" fillId="7" borderId="0" xfId="0" applyFont="1" applyFill="1" applyAlignment="1">
      <alignment horizontal="centerContinuous"/>
    </xf>
    <xf numFmtId="0" fontId="9" fillId="7" borderId="24" xfId="0" applyFont="1" applyFill="1" applyBorder="1" applyAlignment="1">
      <alignment horizontal="centerContinuous"/>
    </xf>
    <xf numFmtId="0" fontId="29" fillId="8" borderId="31" xfId="0" applyFont="1" applyFill="1" applyBorder="1" applyAlignment="1">
      <alignment textRotation="255"/>
    </xf>
    <xf numFmtId="0" fontId="32" fillId="0" borderId="27" xfId="0" applyFont="1" applyFill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6" xfId="0" applyFont="1" applyBorder="1" applyAlignment="1">
      <alignment horizontal="centerContinuous"/>
    </xf>
    <xf numFmtId="0" fontId="33" fillId="0" borderId="0" xfId="0" applyFont="1" applyAlignment="1">
      <alignment/>
    </xf>
    <xf numFmtId="0" fontId="32" fillId="7" borderId="0" xfId="0" applyFont="1" applyFill="1" applyAlignment="1">
      <alignment horizontal="centerContinuous"/>
    </xf>
    <xf numFmtId="0" fontId="34" fillId="0" borderId="17" xfId="0" applyFont="1" applyFill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9" fillId="0" borderId="19" xfId="0" applyFont="1" applyBorder="1" applyAlignment="1">
      <alignment horizontal="centerContinuous"/>
    </xf>
    <xf numFmtId="0" fontId="35" fillId="0" borderId="32" xfId="0" applyFont="1" applyBorder="1" applyAlignment="1">
      <alignment horizontal="centerContinuous"/>
    </xf>
    <xf numFmtId="0" fontId="9" fillId="0" borderId="33" xfId="0" applyFont="1" applyBorder="1" applyAlignment="1">
      <alignment horizontal="centerContinuous"/>
    </xf>
    <xf numFmtId="0" fontId="9" fillId="0" borderId="34" xfId="0" applyFont="1" applyBorder="1" applyAlignment="1">
      <alignment horizontal="centerContinuous"/>
    </xf>
    <xf numFmtId="0" fontId="36" fillId="0" borderId="0" xfId="0" applyFont="1" applyAlignment="1">
      <alignment/>
    </xf>
    <xf numFmtId="0" fontId="35" fillId="0" borderId="0" xfId="0" applyFont="1" applyBorder="1" applyAlignment="1">
      <alignment horizontal="centerContinuous"/>
    </xf>
    <xf numFmtId="0" fontId="38" fillId="0" borderId="35" xfId="0" applyFont="1" applyBorder="1" applyAlignment="1">
      <alignment horizontal="centerContinuous"/>
    </xf>
    <xf numFmtId="0" fontId="38" fillId="0" borderId="36" xfId="0" applyFont="1" applyBorder="1" applyAlignment="1">
      <alignment horizontal="centerContinuous"/>
    </xf>
    <xf numFmtId="0" fontId="31" fillId="0" borderId="29" xfId="0" applyFont="1" applyFill="1" applyBorder="1" applyAlignment="1">
      <alignment horizontal="centerContinuous"/>
    </xf>
    <xf numFmtId="0" fontId="9" fillId="0" borderId="37" xfId="0" applyFont="1" applyFill="1" applyBorder="1" applyAlignment="1">
      <alignment horizontal="centerContinuous"/>
    </xf>
    <xf numFmtId="0" fontId="13" fillId="0" borderId="12" xfId="0" applyFont="1" applyFill="1" applyBorder="1" applyAlignment="1">
      <alignment horizontal="centerContinuous"/>
    </xf>
    <xf numFmtId="0" fontId="38" fillId="0" borderId="0" xfId="0" applyFont="1" applyAlignment="1">
      <alignment horizontal="centerContinuous"/>
    </xf>
    <xf numFmtId="0" fontId="38" fillId="0" borderId="6" xfId="0" applyFont="1" applyBorder="1" applyAlignment="1">
      <alignment horizontal="centerContinuous"/>
    </xf>
    <xf numFmtId="0" fontId="35" fillId="0" borderId="0" xfId="0" applyFont="1" applyAlignment="1">
      <alignment horizontal="centerContinuous"/>
    </xf>
    <xf numFmtId="0" fontId="37" fillId="0" borderId="38" xfId="0" applyFont="1" applyFill="1" applyBorder="1" applyAlignment="1">
      <alignment horizontal="centerContinuous"/>
    </xf>
    <xf numFmtId="0" fontId="13" fillId="3" borderId="11" xfId="0" applyFont="1" applyFill="1" applyBorder="1" applyAlignment="1">
      <alignment horizontal="centerContinuous"/>
    </xf>
    <xf numFmtId="0" fontId="39" fillId="0" borderId="38" xfId="0" applyFont="1" applyFill="1" applyBorder="1" applyAlignment="1">
      <alignment horizontal="centerContinuous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9" fillId="7" borderId="0" xfId="0" applyFont="1" applyFill="1" applyBorder="1" applyAlignment="1">
      <alignment/>
    </xf>
    <xf numFmtId="0" fontId="0" fillId="3" borderId="0" xfId="0" applyFill="1" applyBorder="1" applyAlignment="1">
      <alignment horizontal="centerContinuous"/>
    </xf>
    <xf numFmtId="0" fontId="0" fillId="7" borderId="39" xfId="0" applyFill="1" applyBorder="1" applyAlignment="1">
      <alignment/>
    </xf>
    <xf numFmtId="0" fontId="31" fillId="0" borderId="27" xfId="0" applyFont="1" applyFill="1" applyBorder="1" applyAlignment="1">
      <alignment horizontal="centerContinuous"/>
    </xf>
    <xf numFmtId="0" fontId="9" fillId="7" borderId="40" xfId="0" applyFont="1" applyFill="1" applyBorder="1" applyAlignment="1">
      <alignment/>
    </xf>
    <xf numFmtId="0" fontId="41" fillId="3" borderId="0" xfId="0" applyFont="1" applyFill="1" applyAlignment="1">
      <alignment/>
    </xf>
    <xf numFmtId="0" fontId="42" fillId="3" borderId="0" xfId="0" applyFont="1" applyFill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Continuous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Continuous"/>
    </xf>
    <xf numFmtId="0" fontId="0" fillId="5" borderId="0" xfId="0" applyFill="1" applyAlignment="1">
      <alignment/>
    </xf>
    <xf numFmtId="0" fontId="49" fillId="0" borderId="0" xfId="20">
      <alignment/>
      <protection/>
    </xf>
    <xf numFmtId="0" fontId="52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24" fillId="0" borderId="24" xfId="0" applyFont="1" applyBorder="1" applyAlignment="1">
      <alignment/>
    </xf>
    <xf numFmtId="0" fontId="37" fillId="0" borderId="38" xfId="0" applyFont="1" applyFill="1" applyBorder="1" applyAlignment="1">
      <alignment horizontal="centerContinuous" vertical="center" wrapText="1"/>
    </xf>
    <xf numFmtId="0" fontId="25" fillId="0" borderId="21" xfId="0" applyFont="1" applyBorder="1" applyAlignment="1">
      <alignment horizontal="centerContinuous" vertic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49" fillId="0" borderId="41" xfId="0" applyFont="1" applyBorder="1" applyAlignment="1">
      <alignment/>
    </xf>
    <xf numFmtId="0" fontId="56" fillId="0" borderId="42" xfId="0" applyFont="1" applyBorder="1" applyAlignment="1">
      <alignment horizontal="left"/>
    </xf>
    <xf numFmtId="0" fontId="49" fillId="0" borderId="43" xfId="0" applyFont="1" applyBorder="1" applyAlignment="1">
      <alignment horizontal="center"/>
    </xf>
    <xf numFmtId="0" fontId="49" fillId="0" borderId="44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56" fillId="0" borderId="43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56" fillId="0" borderId="42" xfId="0" applyFont="1" applyBorder="1" applyAlignment="1">
      <alignment horizontal="center"/>
    </xf>
    <xf numFmtId="0" fontId="49" fillId="0" borderId="44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56" fillId="0" borderId="45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0" borderId="46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48" xfId="0" applyFont="1" applyBorder="1" applyAlignment="1">
      <alignment horizontal="center"/>
    </xf>
    <xf numFmtId="0" fontId="56" fillId="0" borderId="6" xfId="0" applyFont="1" applyBorder="1" applyAlignment="1">
      <alignment horizontal="center"/>
    </xf>
    <xf numFmtId="0" fontId="49" fillId="0" borderId="49" xfId="0" applyFont="1" applyBorder="1" applyAlignment="1">
      <alignment/>
    </xf>
    <xf numFmtId="0" fontId="57" fillId="0" borderId="20" xfId="0" applyFont="1" applyBorder="1" applyAlignment="1">
      <alignment horizontal="center"/>
    </xf>
    <xf numFmtId="0" fontId="57" fillId="0" borderId="50" xfId="0" applyFont="1" applyBorder="1" applyAlignment="1">
      <alignment horizontal="center"/>
    </xf>
    <xf numFmtId="0" fontId="57" fillId="0" borderId="4" xfId="0" applyFont="1" applyBorder="1" applyAlignment="1">
      <alignment horizontal="center"/>
    </xf>
    <xf numFmtId="0" fontId="57" fillId="0" borderId="5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0" fontId="57" fillId="0" borderId="51" xfId="0" applyFont="1" applyBorder="1" applyAlignment="1">
      <alignment horizontal="center"/>
    </xf>
    <xf numFmtId="0" fontId="57" fillId="0" borderId="52" xfId="0" applyFont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57" fillId="0" borderId="53" xfId="0" applyFont="1" applyBorder="1" applyAlignment="1">
      <alignment horizontal="center"/>
    </xf>
    <xf numFmtId="0" fontId="58" fillId="0" borderId="50" xfId="0" applyFont="1" applyBorder="1" applyAlignment="1">
      <alignment horizontal="center"/>
    </xf>
    <xf numFmtId="4" fontId="57" fillId="0" borderId="3" xfId="0" applyNumberFormat="1" applyFont="1" applyBorder="1" applyAlignment="1">
      <alignment horizontal="center"/>
    </xf>
    <xf numFmtId="0" fontId="57" fillId="0" borderId="49" xfId="0" applyFont="1" applyBorder="1" applyAlignment="1">
      <alignment horizontal="center"/>
    </xf>
    <xf numFmtId="0" fontId="58" fillId="0" borderId="5" xfId="0" applyFont="1" applyBorder="1" applyAlignment="1">
      <alignment horizontal="center"/>
    </xf>
    <xf numFmtId="0" fontId="49" fillId="0" borderId="5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49" fillId="5" borderId="54" xfId="0" applyFont="1" applyFill="1" applyBorder="1" applyAlignment="1">
      <alignment/>
    </xf>
    <xf numFmtId="3" fontId="49" fillId="0" borderId="7" xfId="0" applyNumberFormat="1" applyFont="1" applyBorder="1" applyAlignment="1">
      <alignment/>
    </xf>
    <xf numFmtId="3" fontId="49" fillId="0" borderId="46" xfId="0" applyNumberFormat="1" applyFont="1" applyBorder="1" applyAlignment="1">
      <alignment/>
    </xf>
    <xf numFmtId="3" fontId="49" fillId="0" borderId="16" xfId="0" applyNumberFormat="1" applyFont="1" applyBorder="1" applyAlignment="1">
      <alignment/>
    </xf>
    <xf numFmtId="3" fontId="49" fillId="0" borderId="6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3" fontId="49" fillId="0" borderId="55" xfId="0" applyNumberFormat="1" applyFont="1" applyBorder="1" applyAlignment="1">
      <alignment/>
    </xf>
    <xf numFmtId="3" fontId="49" fillId="0" borderId="48" xfId="0" applyNumberFormat="1" applyFont="1" applyBorder="1" applyAlignment="1">
      <alignment/>
    </xf>
    <xf numFmtId="3" fontId="49" fillId="0" borderId="25" xfId="0" applyNumberFormat="1" applyFont="1" applyBorder="1" applyAlignment="1">
      <alignment/>
    </xf>
    <xf numFmtId="3" fontId="49" fillId="0" borderId="56" xfId="0" applyNumberFormat="1" applyFont="1" applyBorder="1" applyAlignment="1">
      <alignment/>
    </xf>
    <xf numFmtId="3" fontId="49" fillId="0" borderId="4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49" fillId="0" borderId="57" xfId="0" applyNumberFormat="1" applyFont="1" applyBorder="1" applyAlignment="1">
      <alignment/>
    </xf>
    <xf numFmtId="3" fontId="49" fillId="0" borderId="58" xfId="0" applyNumberFormat="1" applyFont="1" applyBorder="1" applyAlignment="1">
      <alignment/>
    </xf>
    <xf numFmtId="3" fontId="49" fillId="0" borderId="59" xfId="0" applyNumberFormat="1" applyFont="1" applyBorder="1" applyAlignment="1">
      <alignment/>
    </xf>
    <xf numFmtId="3" fontId="49" fillId="0" borderId="60" xfId="0" applyNumberFormat="1" applyFont="1" applyBorder="1" applyAlignment="1">
      <alignment/>
    </xf>
    <xf numFmtId="3" fontId="49" fillId="0" borderId="61" xfId="0" applyNumberFormat="1" applyFont="1" applyBorder="1" applyAlignment="1">
      <alignment/>
    </xf>
    <xf numFmtId="3" fontId="49" fillId="0" borderId="62" xfId="0" applyNumberFormat="1" applyFont="1" applyBorder="1" applyAlignment="1">
      <alignment/>
    </xf>
    <xf numFmtId="3" fontId="49" fillId="0" borderId="63" xfId="0" applyNumberFormat="1" applyFont="1" applyBorder="1" applyAlignment="1">
      <alignment/>
    </xf>
    <xf numFmtId="3" fontId="49" fillId="0" borderId="64" xfId="0" applyNumberFormat="1" applyFont="1" applyBorder="1" applyAlignment="1">
      <alignment/>
    </xf>
    <xf numFmtId="3" fontId="49" fillId="0" borderId="65" xfId="0" applyNumberFormat="1" applyFont="1" applyBorder="1" applyAlignment="1">
      <alignment/>
    </xf>
    <xf numFmtId="0" fontId="49" fillId="5" borderId="65" xfId="0" applyFont="1" applyFill="1" applyBorder="1" applyAlignment="1">
      <alignment/>
    </xf>
    <xf numFmtId="3" fontId="49" fillId="0" borderId="66" xfId="0" applyNumberFormat="1" applyFont="1" applyBorder="1" applyAlignment="1">
      <alignment/>
    </xf>
    <xf numFmtId="3" fontId="49" fillId="0" borderId="45" xfId="0" applyNumberFormat="1" applyFont="1" applyBorder="1" applyAlignment="1">
      <alignment/>
    </xf>
    <xf numFmtId="3" fontId="49" fillId="0" borderId="67" xfId="0" applyNumberFormat="1" applyFont="1" applyBorder="1" applyAlignment="1">
      <alignment/>
    </xf>
    <xf numFmtId="0" fontId="49" fillId="5" borderId="45" xfId="0" applyFont="1" applyFill="1" applyBorder="1" applyAlignment="1">
      <alignment/>
    </xf>
    <xf numFmtId="3" fontId="49" fillId="0" borderId="68" xfId="0" applyNumberFormat="1" applyFont="1" applyBorder="1" applyAlignment="1">
      <alignment/>
    </xf>
    <xf numFmtId="3" fontId="49" fillId="0" borderId="69" xfId="0" applyNumberFormat="1" applyFont="1" applyBorder="1" applyAlignment="1">
      <alignment/>
    </xf>
    <xf numFmtId="3" fontId="49" fillId="0" borderId="70" xfId="0" applyNumberFormat="1" applyFont="1" applyBorder="1" applyAlignment="1">
      <alignment/>
    </xf>
    <xf numFmtId="3" fontId="49" fillId="0" borderId="71" xfId="0" applyNumberFormat="1" applyFont="1" applyBorder="1" applyAlignment="1">
      <alignment/>
    </xf>
    <xf numFmtId="3" fontId="49" fillId="0" borderId="72" xfId="0" applyNumberFormat="1" applyFont="1" applyBorder="1" applyAlignment="1">
      <alignment/>
    </xf>
    <xf numFmtId="3" fontId="49" fillId="0" borderId="73" xfId="0" applyNumberFormat="1" applyFont="1" applyBorder="1" applyAlignment="1">
      <alignment/>
    </xf>
    <xf numFmtId="3" fontId="49" fillId="0" borderId="74" xfId="0" applyNumberFormat="1" applyFont="1" applyBorder="1" applyAlignment="1">
      <alignment/>
    </xf>
    <xf numFmtId="3" fontId="49" fillId="0" borderId="75" xfId="0" applyNumberFormat="1" applyFont="1" applyBorder="1" applyAlignment="1">
      <alignment/>
    </xf>
    <xf numFmtId="3" fontId="49" fillId="0" borderId="76" xfId="0" applyNumberFormat="1" applyFont="1" applyBorder="1" applyAlignment="1">
      <alignment/>
    </xf>
    <xf numFmtId="0" fontId="60" fillId="5" borderId="77" xfId="0" applyFont="1" applyFill="1" applyBorder="1" applyAlignment="1">
      <alignment/>
    </xf>
    <xf numFmtId="3" fontId="56" fillId="0" borderId="42" xfId="0" applyNumberFormat="1" applyFont="1" applyBorder="1" applyAlignment="1">
      <alignment/>
    </xf>
    <xf numFmtId="3" fontId="56" fillId="0" borderId="78" xfId="0" applyNumberFormat="1" applyFont="1" applyBorder="1" applyAlignment="1">
      <alignment/>
    </xf>
    <xf numFmtId="3" fontId="56" fillId="0" borderId="79" xfId="0" applyNumberFormat="1" applyFont="1" applyBorder="1" applyAlignment="1">
      <alignment/>
    </xf>
    <xf numFmtId="3" fontId="56" fillId="0" borderId="80" xfId="0" applyNumberFormat="1" applyFont="1" applyBorder="1" applyAlignment="1">
      <alignment/>
    </xf>
    <xf numFmtId="3" fontId="56" fillId="0" borderId="81" xfId="0" applyNumberFormat="1" applyFont="1" applyBorder="1" applyAlignment="1">
      <alignment/>
    </xf>
    <xf numFmtId="3" fontId="56" fillId="0" borderId="43" xfId="0" applyNumberFormat="1" applyFont="1" applyBorder="1" applyAlignment="1">
      <alignment/>
    </xf>
    <xf numFmtId="3" fontId="56" fillId="0" borderId="44" xfId="0" applyNumberFormat="1" applyFont="1" applyBorder="1" applyAlignment="1">
      <alignment/>
    </xf>
    <xf numFmtId="3" fontId="56" fillId="0" borderId="77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60" fillId="5" borderId="0" xfId="0" applyFont="1" applyFill="1" applyBorder="1" applyAlignment="1">
      <alignment/>
    </xf>
    <xf numFmtId="3" fontId="56" fillId="0" borderId="0" xfId="0" applyNumberFormat="1" applyFont="1" applyBorder="1" applyAlignment="1">
      <alignment/>
    </xf>
    <xf numFmtId="4" fontId="56" fillId="0" borderId="0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3" fontId="51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61" fillId="0" borderId="0" xfId="0" applyFont="1" applyAlignment="1">
      <alignment/>
    </xf>
    <xf numFmtId="0" fontId="52" fillId="0" borderId="0" xfId="0" applyFont="1" applyAlignment="1">
      <alignment/>
    </xf>
    <xf numFmtId="14" fontId="55" fillId="0" borderId="0" xfId="0" applyNumberFormat="1" applyFont="1" applyAlignment="1">
      <alignment horizontal="left"/>
    </xf>
    <xf numFmtId="0" fontId="49" fillId="0" borderId="0" xfId="0" applyFont="1" applyAlignment="1">
      <alignment horizontal="right"/>
    </xf>
    <xf numFmtId="0" fontId="62" fillId="0" borderId="82" xfId="0" applyFont="1" applyFill="1" applyBorder="1" applyAlignment="1">
      <alignment/>
    </xf>
    <xf numFmtId="164" fontId="49" fillId="0" borderId="83" xfId="0" applyNumberFormat="1" applyFont="1" applyFill="1" applyBorder="1" applyAlignment="1">
      <alignment/>
    </xf>
    <xf numFmtId="164" fontId="49" fillId="0" borderId="84" xfId="0" applyNumberFormat="1" applyFont="1" applyFill="1" applyBorder="1" applyAlignment="1">
      <alignment/>
    </xf>
    <xf numFmtId="4" fontId="49" fillId="0" borderId="82" xfId="0" applyNumberFormat="1" applyFont="1" applyFill="1" applyBorder="1" applyAlignment="1">
      <alignment/>
    </xf>
    <xf numFmtId="164" fontId="49" fillId="0" borderId="82" xfId="0" applyNumberFormat="1" applyFont="1" applyFill="1" applyBorder="1" applyAlignment="1">
      <alignment/>
    </xf>
    <xf numFmtId="4" fontId="49" fillId="0" borderId="59" xfId="0" applyNumberFormat="1" applyFont="1" applyFill="1" applyBorder="1" applyAlignment="1">
      <alignment/>
    </xf>
    <xf numFmtId="0" fontId="49" fillId="0" borderId="85" xfId="0" applyFont="1" applyFill="1" applyBorder="1" applyAlignment="1">
      <alignment/>
    </xf>
    <xf numFmtId="164" fontId="49" fillId="0" borderId="16" xfId="0" applyNumberFormat="1" applyFont="1" applyFill="1" applyBorder="1" applyAlignment="1">
      <alignment/>
    </xf>
    <xf numFmtId="164" fontId="49" fillId="0" borderId="66" xfId="0" applyNumberFormat="1" applyFont="1" applyFill="1" applyBorder="1" applyAlignment="1">
      <alignment/>
    </xf>
    <xf numFmtId="4" fontId="49" fillId="0" borderId="85" xfId="0" applyNumberFormat="1" applyFont="1" applyFill="1" applyBorder="1" applyAlignment="1">
      <alignment/>
    </xf>
    <xf numFmtId="164" fontId="49" fillId="0" borderId="45" xfId="0" applyNumberFormat="1" applyFont="1" applyFill="1" applyBorder="1" applyAlignment="1">
      <alignment/>
    </xf>
    <xf numFmtId="4" fontId="49" fillId="0" borderId="86" xfId="0" applyNumberFormat="1" applyFont="1" applyFill="1" applyBorder="1" applyAlignment="1">
      <alignment/>
    </xf>
    <xf numFmtId="0" fontId="63" fillId="0" borderId="77" xfId="0" applyFont="1" applyFill="1" applyBorder="1" applyAlignment="1">
      <alignment/>
    </xf>
    <xf numFmtId="0" fontId="49" fillId="0" borderId="54" xfId="0" applyFont="1" applyFill="1" applyBorder="1" applyAlignment="1">
      <alignment/>
    </xf>
    <xf numFmtId="164" fontId="49" fillId="0" borderId="87" xfId="0" applyNumberFormat="1" applyFont="1" applyFill="1" applyBorder="1" applyAlignment="1">
      <alignment/>
    </xf>
    <xf numFmtId="164" fontId="49" fillId="0" borderId="14" xfId="0" applyNumberFormat="1" applyFont="1" applyFill="1" applyBorder="1" applyAlignment="1">
      <alignment/>
    </xf>
    <xf numFmtId="4" fontId="49" fillId="0" borderId="54" xfId="0" applyNumberFormat="1" applyFont="1" applyFill="1" applyBorder="1" applyAlignment="1">
      <alignment/>
    </xf>
    <xf numFmtId="164" fontId="49" fillId="0" borderId="54" xfId="0" applyNumberFormat="1" applyFont="1" applyFill="1" applyBorder="1" applyAlignment="1">
      <alignment/>
    </xf>
    <xf numFmtId="4" fontId="49" fillId="0" borderId="87" xfId="0" applyNumberFormat="1" applyFont="1" applyFill="1" applyBorder="1" applyAlignment="1">
      <alignment/>
    </xf>
    <xf numFmtId="164" fontId="49" fillId="0" borderId="86" xfId="0" applyNumberFormat="1" applyFont="1" applyFill="1" applyBorder="1" applyAlignment="1">
      <alignment/>
    </xf>
    <xf numFmtId="164" fontId="49" fillId="0" borderId="88" xfId="0" applyNumberFormat="1" applyFont="1" applyFill="1" applyBorder="1" applyAlignment="1">
      <alignment/>
    </xf>
    <xf numFmtId="164" fontId="49" fillId="0" borderId="85" xfId="0" applyNumberFormat="1" applyFont="1" applyFill="1" applyBorder="1" applyAlignment="1">
      <alignment/>
    </xf>
    <xf numFmtId="0" fontId="49" fillId="0" borderId="65" xfId="0" applyFont="1" applyFill="1" applyBorder="1" applyAlignment="1">
      <alignment/>
    </xf>
    <xf numFmtId="4" fontId="49" fillId="0" borderId="65" xfId="0" applyNumberFormat="1" applyFont="1" applyFill="1" applyBorder="1" applyAlignment="1">
      <alignment/>
    </xf>
    <xf numFmtId="164" fontId="49" fillId="0" borderId="65" xfId="0" applyNumberFormat="1" applyFont="1" applyFill="1" applyBorder="1" applyAlignment="1">
      <alignment/>
    </xf>
    <xf numFmtId="164" fontId="49" fillId="0" borderId="57" xfId="0" applyNumberFormat="1" applyFont="1" applyFill="1" applyBorder="1" applyAlignment="1">
      <alignment/>
    </xf>
    <xf numFmtId="164" fontId="49" fillId="0" borderId="59" xfId="0" applyNumberFormat="1" applyFont="1" applyFill="1" applyBorder="1" applyAlignment="1">
      <alignment/>
    </xf>
    <xf numFmtId="164" fontId="49" fillId="0" borderId="57" xfId="0" applyNumberFormat="1" applyFont="1" applyBorder="1" applyAlignment="1">
      <alignment/>
    </xf>
    <xf numFmtId="4" fontId="49" fillId="0" borderId="65" xfId="0" applyNumberFormat="1" applyFont="1" applyBorder="1" applyAlignment="1">
      <alignment/>
    </xf>
    <xf numFmtId="164" fontId="49" fillId="0" borderId="65" xfId="0" applyNumberFormat="1" applyFont="1" applyBorder="1" applyAlignment="1">
      <alignment/>
    </xf>
    <xf numFmtId="4" fontId="49" fillId="0" borderId="59" xfId="0" applyNumberFormat="1" applyFont="1" applyBorder="1" applyAlignment="1">
      <alignment/>
    </xf>
    <xf numFmtId="0" fontId="49" fillId="0" borderId="45" xfId="0" applyFont="1" applyFill="1" applyBorder="1" applyAlignment="1">
      <alignment/>
    </xf>
    <xf numFmtId="164" fontId="49" fillId="0" borderId="68" xfId="0" applyNumberFormat="1" applyFont="1" applyBorder="1" applyAlignment="1">
      <alignment/>
    </xf>
    <xf numFmtId="4" fontId="49" fillId="0" borderId="85" xfId="0" applyNumberFormat="1" applyFont="1" applyBorder="1" applyAlignment="1">
      <alignment/>
    </xf>
    <xf numFmtId="164" fontId="49" fillId="0" borderId="76" xfId="0" applyNumberFormat="1" applyFont="1" applyBorder="1" applyAlignment="1">
      <alignment/>
    </xf>
    <xf numFmtId="4" fontId="49" fillId="0" borderId="70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4" fontId="49" fillId="0" borderId="54" xfId="0" applyNumberFormat="1" applyFont="1" applyBorder="1" applyAlignment="1">
      <alignment/>
    </xf>
    <xf numFmtId="164" fontId="49" fillId="0" borderId="54" xfId="0" applyNumberFormat="1" applyFont="1" applyBorder="1" applyAlignment="1">
      <alignment/>
    </xf>
    <xf numFmtId="4" fontId="49" fillId="0" borderId="87" xfId="0" applyNumberFormat="1" applyFont="1" applyBorder="1" applyAlignment="1">
      <alignment/>
    </xf>
    <xf numFmtId="4" fontId="49" fillId="0" borderId="86" xfId="0" applyNumberFormat="1" applyFont="1" applyBorder="1" applyAlignment="1">
      <alignment/>
    </xf>
    <xf numFmtId="3" fontId="56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0" fontId="50" fillId="0" borderId="0" xfId="20" applyFont="1">
      <alignment/>
      <protection/>
    </xf>
    <xf numFmtId="0" fontId="50" fillId="0" borderId="0" xfId="20" applyFont="1" applyAlignment="1">
      <alignment horizontal="center"/>
      <protection/>
    </xf>
    <xf numFmtId="0" fontId="49" fillId="0" borderId="0" xfId="20" applyAlignment="1">
      <alignment horizontal="right"/>
      <protection/>
    </xf>
    <xf numFmtId="0" fontId="66" fillId="0" borderId="89" xfId="20" applyFont="1" applyBorder="1" applyAlignment="1">
      <alignment horizontal="center"/>
      <protection/>
    </xf>
    <xf numFmtId="0" fontId="66" fillId="0" borderId="90" xfId="20" applyFont="1" applyBorder="1">
      <alignment/>
      <protection/>
    </xf>
    <xf numFmtId="0" fontId="10" fillId="0" borderId="90" xfId="20" applyFont="1" applyBorder="1">
      <alignment/>
      <protection/>
    </xf>
    <xf numFmtId="0" fontId="67" fillId="0" borderId="90" xfId="20" applyFont="1" applyBorder="1">
      <alignment/>
      <protection/>
    </xf>
    <xf numFmtId="0" fontId="67" fillId="0" borderId="91" xfId="20" applyFont="1" applyBorder="1">
      <alignment/>
      <protection/>
    </xf>
    <xf numFmtId="0" fontId="67" fillId="0" borderId="90" xfId="20" applyFont="1" applyFill="1" applyBorder="1">
      <alignment/>
      <protection/>
    </xf>
    <xf numFmtId="0" fontId="67" fillId="0" borderId="83" xfId="20" applyFont="1" applyFill="1" applyBorder="1">
      <alignment/>
      <protection/>
    </xf>
    <xf numFmtId="0" fontId="65" fillId="0" borderId="63" xfId="20" applyFont="1" applyBorder="1">
      <alignment/>
      <protection/>
    </xf>
    <xf numFmtId="3" fontId="66" fillId="0" borderId="58" xfId="20" applyNumberFormat="1" applyFont="1" applyBorder="1">
      <alignment/>
      <protection/>
    </xf>
    <xf numFmtId="3" fontId="65" fillId="0" borderId="58" xfId="20" applyNumberFormat="1" applyFont="1" applyBorder="1">
      <alignment/>
      <protection/>
    </xf>
    <xf numFmtId="3" fontId="65" fillId="0" borderId="58" xfId="20" applyNumberFormat="1" applyFont="1" applyFill="1" applyBorder="1">
      <alignment/>
      <protection/>
    </xf>
    <xf numFmtId="3" fontId="65" fillId="0" borderId="62" xfId="20" applyNumberFormat="1" applyFont="1" applyBorder="1">
      <alignment/>
      <protection/>
    </xf>
    <xf numFmtId="3" fontId="65" fillId="0" borderId="62" xfId="20" applyNumberFormat="1" applyFont="1" applyFill="1" applyBorder="1">
      <alignment/>
      <protection/>
    </xf>
    <xf numFmtId="3" fontId="65" fillId="0" borderId="59" xfId="20" applyNumberFormat="1" applyFont="1" applyFill="1" applyBorder="1">
      <alignment/>
      <protection/>
    </xf>
    <xf numFmtId="0" fontId="10" fillId="0" borderId="63" xfId="20" applyFont="1" applyBorder="1">
      <alignment/>
      <protection/>
    </xf>
    <xf numFmtId="3" fontId="50" fillId="0" borderId="58" xfId="20" applyNumberFormat="1" applyFont="1" applyBorder="1">
      <alignment/>
      <protection/>
    </xf>
    <xf numFmtId="3" fontId="10" fillId="0" borderId="58" xfId="20" applyNumberFormat="1" applyFont="1" applyBorder="1">
      <alignment/>
      <protection/>
    </xf>
    <xf numFmtId="3" fontId="10" fillId="0" borderId="58" xfId="20" applyNumberFormat="1" applyFont="1" applyFill="1" applyBorder="1">
      <alignment/>
      <protection/>
    </xf>
    <xf numFmtId="3" fontId="10" fillId="0" borderId="62" xfId="20" applyNumberFormat="1" applyFont="1" applyFill="1" applyBorder="1">
      <alignment/>
      <protection/>
    </xf>
    <xf numFmtId="3" fontId="10" fillId="0" borderId="59" xfId="20" applyNumberFormat="1" applyFont="1" applyFill="1" applyBorder="1">
      <alignment/>
      <protection/>
    </xf>
    <xf numFmtId="3" fontId="10" fillId="0" borderId="58" xfId="20" applyNumberFormat="1" applyFont="1" applyBorder="1" applyAlignment="1">
      <alignment horizontal="center"/>
      <protection/>
    </xf>
    <xf numFmtId="3" fontId="10" fillId="0" borderId="62" xfId="20" applyNumberFormat="1" applyFont="1" applyFill="1" applyBorder="1" applyAlignment="1">
      <alignment horizontal="center"/>
      <protection/>
    </xf>
    <xf numFmtId="3" fontId="10" fillId="0" borderId="58" xfId="20" applyNumberFormat="1" applyFont="1" applyFill="1" applyBorder="1" applyAlignment="1">
      <alignment horizontal="center"/>
      <protection/>
    </xf>
    <xf numFmtId="0" fontId="50" fillId="0" borderId="58" xfId="20" applyFont="1" applyBorder="1">
      <alignment/>
      <protection/>
    </xf>
    <xf numFmtId="0" fontId="10" fillId="0" borderId="58" xfId="20" applyFont="1" applyBorder="1">
      <alignment/>
      <protection/>
    </xf>
    <xf numFmtId="0" fontId="67" fillId="0" borderId="58" xfId="20" applyFont="1" applyBorder="1">
      <alignment/>
      <protection/>
    </xf>
    <xf numFmtId="3" fontId="67" fillId="0" borderId="62" xfId="20" applyNumberFormat="1" applyFont="1" applyBorder="1">
      <alignment/>
      <protection/>
    </xf>
    <xf numFmtId="3" fontId="67" fillId="0" borderId="62" xfId="20" applyNumberFormat="1" applyFont="1" applyFill="1" applyBorder="1">
      <alignment/>
      <protection/>
    </xf>
    <xf numFmtId="3" fontId="67" fillId="0" borderId="58" xfId="20" applyNumberFormat="1" applyFont="1" applyFill="1" applyBorder="1">
      <alignment/>
      <protection/>
    </xf>
    <xf numFmtId="3" fontId="67" fillId="0" borderId="59" xfId="20" applyNumberFormat="1" applyFont="1" applyFill="1" applyBorder="1">
      <alignment/>
      <protection/>
    </xf>
    <xf numFmtId="0" fontId="66" fillId="0" borderId="0" xfId="20" applyFont="1">
      <alignment/>
      <protection/>
    </xf>
    <xf numFmtId="3" fontId="65" fillId="0" borderId="58" xfId="20" applyNumberFormat="1" applyFont="1" applyFill="1" applyBorder="1" applyAlignment="1">
      <alignment horizontal="right"/>
      <protection/>
    </xf>
    <xf numFmtId="3" fontId="65" fillId="0" borderId="58" xfId="20" applyNumberFormat="1" applyFont="1" applyFill="1" applyBorder="1" applyAlignment="1">
      <alignment horizontal="center"/>
      <protection/>
    </xf>
    <xf numFmtId="3" fontId="65" fillId="0" borderId="59" xfId="20" applyNumberFormat="1" applyFont="1" applyFill="1" applyBorder="1" applyAlignment="1">
      <alignment horizontal="center"/>
      <protection/>
    </xf>
    <xf numFmtId="3" fontId="10" fillId="0" borderId="62" xfId="20" applyNumberFormat="1" applyFont="1" applyBorder="1">
      <alignment/>
      <protection/>
    </xf>
    <xf numFmtId="3" fontId="67" fillId="0" borderId="58" xfId="20" applyNumberFormat="1" applyFont="1" applyBorder="1">
      <alignment/>
      <protection/>
    </xf>
    <xf numFmtId="0" fontId="49" fillId="0" borderId="58" xfId="20" applyBorder="1">
      <alignment/>
      <protection/>
    </xf>
    <xf numFmtId="3" fontId="49" fillId="0" borderId="62" xfId="20" applyNumberFormat="1" applyBorder="1">
      <alignment/>
      <protection/>
    </xf>
    <xf numFmtId="3" fontId="49" fillId="0" borderId="62" xfId="20" applyNumberFormat="1" applyFill="1" applyBorder="1">
      <alignment/>
      <protection/>
    </xf>
    <xf numFmtId="0" fontId="49" fillId="0" borderId="58" xfId="20" applyFill="1" applyBorder="1">
      <alignment/>
      <protection/>
    </xf>
    <xf numFmtId="0" fontId="49" fillId="0" borderId="59" xfId="20" applyFill="1" applyBorder="1">
      <alignment/>
      <protection/>
    </xf>
    <xf numFmtId="2" fontId="50" fillId="0" borderId="58" xfId="20" applyNumberFormat="1" applyFont="1" applyBorder="1">
      <alignment/>
      <protection/>
    </xf>
    <xf numFmtId="2" fontId="10" fillId="0" borderId="58" xfId="20" applyNumberFormat="1" applyFont="1" applyBorder="1">
      <alignment/>
      <protection/>
    </xf>
    <xf numFmtId="2" fontId="10" fillId="0" borderId="62" xfId="20" applyNumberFormat="1" applyFont="1" applyFill="1" applyBorder="1">
      <alignment/>
      <protection/>
    </xf>
    <xf numFmtId="2" fontId="10" fillId="0" borderId="58" xfId="20" applyNumberFormat="1" applyFont="1" applyFill="1" applyBorder="1">
      <alignment/>
      <protection/>
    </xf>
    <xf numFmtId="2" fontId="10" fillId="0" borderId="58" xfId="20" applyNumberFormat="1" applyFont="1" applyFill="1" applyBorder="1" applyAlignment="1">
      <alignment horizontal="right"/>
      <protection/>
    </xf>
    <xf numFmtId="2" fontId="10" fillId="0" borderId="59" xfId="20" applyNumberFormat="1" applyFont="1" applyFill="1" applyBorder="1">
      <alignment/>
      <protection/>
    </xf>
    <xf numFmtId="2" fontId="10" fillId="0" borderId="62" xfId="20" applyNumberFormat="1" applyFont="1" applyFill="1" applyBorder="1" applyAlignment="1">
      <alignment horizontal="right"/>
      <protection/>
    </xf>
    <xf numFmtId="2" fontId="10" fillId="0" borderId="59" xfId="20" applyNumberFormat="1" applyFont="1" applyFill="1" applyBorder="1" applyAlignment="1">
      <alignment horizontal="right"/>
      <protection/>
    </xf>
    <xf numFmtId="2" fontId="10" fillId="0" borderId="62" xfId="20" applyNumberFormat="1" applyFont="1" applyBorder="1" applyAlignment="1">
      <alignment horizontal="right"/>
      <protection/>
    </xf>
    <xf numFmtId="0" fontId="67" fillId="0" borderId="58" xfId="20" applyFont="1" applyFill="1" applyBorder="1">
      <alignment/>
      <protection/>
    </xf>
    <xf numFmtId="0" fontId="67" fillId="0" borderId="58" xfId="20" applyFont="1" applyFill="1" applyBorder="1" applyAlignment="1">
      <alignment horizontal="right"/>
      <protection/>
    </xf>
    <xf numFmtId="0" fontId="67" fillId="0" borderId="59" xfId="20" applyFont="1" applyFill="1" applyBorder="1">
      <alignment/>
      <protection/>
    </xf>
    <xf numFmtId="3" fontId="10" fillId="0" borderId="58" xfId="20" applyNumberFormat="1" applyFont="1" applyFill="1" applyBorder="1" applyAlignment="1">
      <alignment horizontal="right"/>
      <protection/>
    </xf>
    <xf numFmtId="2" fontId="10" fillId="0" borderId="62" xfId="20" applyNumberFormat="1" applyFont="1" applyBorder="1">
      <alignment/>
      <protection/>
    </xf>
    <xf numFmtId="0" fontId="10" fillId="0" borderId="74" xfId="20" applyFont="1" applyBorder="1">
      <alignment/>
      <protection/>
    </xf>
    <xf numFmtId="0" fontId="50" fillId="0" borderId="69" xfId="20" applyFont="1" applyBorder="1">
      <alignment/>
      <protection/>
    </xf>
    <xf numFmtId="2" fontId="50" fillId="0" borderId="69" xfId="20" applyNumberFormat="1" applyFont="1" applyBorder="1">
      <alignment/>
      <protection/>
    </xf>
    <xf numFmtId="4" fontId="10" fillId="0" borderId="69" xfId="20" applyNumberFormat="1" applyFont="1" applyBorder="1">
      <alignment/>
      <protection/>
    </xf>
    <xf numFmtId="4" fontId="10" fillId="0" borderId="69" xfId="20" applyNumberFormat="1" applyFont="1" applyFill="1" applyBorder="1">
      <alignment/>
      <protection/>
    </xf>
    <xf numFmtId="4" fontId="10" fillId="0" borderId="69" xfId="20" applyNumberFormat="1" applyFont="1" applyFill="1" applyBorder="1" applyAlignment="1">
      <alignment horizontal="right"/>
      <protection/>
    </xf>
    <xf numFmtId="4" fontId="10" fillId="0" borderId="70" xfId="20" applyNumberFormat="1" applyFont="1" applyFill="1" applyBorder="1">
      <alignment/>
      <protection/>
    </xf>
    <xf numFmtId="0" fontId="10" fillId="0" borderId="0" xfId="20" applyFont="1" applyBorder="1">
      <alignment/>
      <protection/>
    </xf>
    <xf numFmtId="0" fontId="50" fillId="0" borderId="0" xfId="20" applyFont="1" applyBorder="1">
      <alignment/>
      <protection/>
    </xf>
    <xf numFmtId="2" fontId="50" fillId="0" borderId="0" xfId="20" applyNumberFormat="1" applyFont="1" applyBorder="1">
      <alignment/>
      <protection/>
    </xf>
    <xf numFmtId="4" fontId="10" fillId="0" borderId="0" xfId="20" applyNumberFormat="1" applyFont="1" applyBorder="1">
      <alignment/>
      <protection/>
    </xf>
    <xf numFmtId="4" fontId="10" fillId="0" borderId="0" xfId="20" applyNumberFormat="1" applyFont="1" applyFill="1" applyBorder="1">
      <alignment/>
      <protection/>
    </xf>
    <xf numFmtId="0" fontId="49" fillId="0" borderId="0" xfId="20" applyBorder="1">
      <alignment/>
      <protection/>
    </xf>
    <xf numFmtId="0" fontId="50" fillId="0" borderId="0" xfId="20" applyFont="1" applyFill="1" applyBorder="1">
      <alignment/>
      <protection/>
    </xf>
    <xf numFmtId="0" fontId="49" fillId="0" borderId="0" xfId="20" applyBorder="1" applyAlignment="1">
      <alignment/>
      <protection/>
    </xf>
    <xf numFmtId="0" fontId="49" fillId="0" borderId="0" xfId="20" applyAlignment="1">
      <alignment/>
      <protection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64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3" fontId="52" fillId="0" borderId="0" xfId="30" applyNumberFormat="1" applyFont="1" applyFill="1">
      <alignment/>
      <protection/>
    </xf>
    <xf numFmtId="3" fontId="54" fillId="0" borderId="0" xfId="30" applyNumberFormat="1" applyFont="1" applyFill="1">
      <alignment/>
      <protection/>
    </xf>
    <xf numFmtId="3" fontId="52" fillId="0" borderId="0" xfId="30" applyNumberFormat="1" applyFont="1" applyFill="1" applyBorder="1">
      <alignment/>
      <protection/>
    </xf>
    <xf numFmtId="3" fontId="52" fillId="0" borderId="0" xfId="30" applyNumberFormat="1" applyFont="1" applyFill="1" applyBorder="1" applyAlignment="1">
      <alignment horizontal="right"/>
      <protection/>
    </xf>
    <xf numFmtId="3" fontId="52" fillId="0" borderId="7" xfId="30" applyNumberFormat="1" applyFont="1" applyFill="1" applyBorder="1">
      <alignment/>
      <protection/>
    </xf>
    <xf numFmtId="3" fontId="54" fillId="0" borderId="7" xfId="30" applyNumberFormat="1" applyFont="1" applyFill="1" applyBorder="1" applyAlignment="1">
      <alignment horizontal="center"/>
      <protection/>
    </xf>
    <xf numFmtId="3" fontId="54" fillId="0" borderId="1" xfId="30" applyNumberFormat="1" applyFont="1" applyFill="1" applyBorder="1" applyAlignment="1">
      <alignment horizontal="center"/>
      <protection/>
    </xf>
    <xf numFmtId="3" fontId="52" fillId="0" borderId="7" xfId="30" applyNumberFormat="1" applyFont="1" applyFill="1" applyBorder="1" applyAlignment="1">
      <alignment horizontal="center"/>
      <protection/>
    </xf>
    <xf numFmtId="3" fontId="54" fillId="0" borderId="41" xfId="30" applyNumberFormat="1" applyFont="1" applyFill="1" applyBorder="1" applyAlignment="1">
      <alignment horizontal="center"/>
      <protection/>
    </xf>
    <xf numFmtId="3" fontId="52" fillId="0" borderId="2" xfId="30" applyNumberFormat="1" applyFont="1" applyFill="1" applyBorder="1" applyAlignment="1">
      <alignment horizontal="center"/>
      <protection/>
    </xf>
    <xf numFmtId="3" fontId="52" fillId="0" borderId="2" xfId="30" applyNumberFormat="1" applyFont="1" applyFill="1" applyBorder="1">
      <alignment/>
      <protection/>
    </xf>
    <xf numFmtId="3" fontId="52" fillId="0" borderId="0" xfId="30" applyNumberFormat="1" applyFont="1" applyFill="1" applyBorder="1" applyAlignment="1">
      <alignment horizontal="center"/>
      <protection/>
    </xf>
    <xf numFmtId="3" fontId="54" fillId="0" borderId="42" xfId="30" applyNumberFormat="1" applyFont="1" applyFill="1" applyBorder="1" applyAlignment="1">
      <alignment horizontal="center"/>
      <protection/>
    </xf>
    <xf numFmtId="3" fontId="54" fillId="0" borderId="78" xfId="30" applyNumberFormat="1" applyFont="1" applyFill="1" applyBorder="1" applyAlignment="1">
      <alignment horizontal="center"/>
      <protection/>
    </xf>
    <xf numFmtId="3" fontId="54" fillId="0" borderId="79" xfId="30" applyNumberFormat="1" applyFont="1" applyFill="1" applyBorder="1" applyAlignment="1">
      <alignment horizontal="center"/>
      <protection/>
    </xf>
    <xf numFmtId="3" fontId="54" fillId="0" borderId="44" xfId="30" applyNumberFormat="1" applyFont="1" applyFill="1" applyBorder="1" applyAlignment="1">
      <alignment horizontal="center"/>
      <protection/>
    </xf>
    <xf numFmtId="3" fontId="54" fillId="0" borderId="81" xfId="30" applyNumberFormat="1" applyFont="1" applyFill="1" applyBorder="1" applyAlignment="1">
      <alignment horizontal="center"/>
      <protection/>
    </xf>
    <xf numFmtId="3" fontId="54" fillId="0" borderId="80" xfId="30" applyNumberFormat="1" applyFont="1" applyFill="1" applyBorder="1" applyAlignment="1">
      <alignment horizontal="center"/>
      <protection/>
    </xf>
    <xf numFmtId="3" fontId="54" fillId="0" borderId="49" xfId="30" applyNumberFormat="1" applyFont="1" applyFill="1" applyBorder="1" applyAlignment="1">
      <alignment horizontal="center"/>
      <protection/>
    </xf>
    <xf numFmtId="3" fontId="52" fillId="0" borderId="14" xfId="30" applyNumberFormat="1" applyFont="1" applyFill="1" applyBorder="1">
      <alignment/>
      <protection/>
    </xf>
    <xf numFmtId="3" fontId="52" fillId="0" borderId="84" xfId="30" applyNumberFormat="1" applyFont="1" applyFill="1" applyBorder="1">
      <alignment/>
      <protection/>
    </xf>
    <xf numFmtId="3" fontId="52" fillId="0" borderId="90" xfId="30" applyNumberFormat="1" applyFont="1" applyFill="1" applyBorder="1">
      <alignment/>
      <protection/>
    </xf>
    <xf numFmtId="3" fontId="52" fillId="0" borderId="83" xfId="30" applyNumberFormat="1" applyFont="1" applyFill="1" applyBorder="1">
      <alignment/>
      <protection/>
    </xf>
    <xf numFmtId="3" fontId="52" fillId="0" borderId="47" xfId="30" applyNumberFormat="1" applyFont="1" applyFill="1" applyBorder="1">
      <alignment/>
      <protection/>
    </xf>
    <xf numFmtId="3" fontId="52" fillId="0" borderId="92" xfId="30" applyNumberFormat="1" applyFont="1" applyFill="1" applyBorder="1">
      <alignment/>
      <protection/>
    </xf>
    <xf numFmtId="3" fontId="52" fillId="0" borderId="93" xfId="30" applyNumberFormat="1" applyFont="1" applyFill="1" applyBorder="1">
      <alignment/>
      <protection/>
    </xf>
    <xf numFmtId="3" fontId="52" fillId="0" borderId="25" xfId="30" applyNumberFormat="1" applyFont="1" applyFill="1" applyBorder="1">
      <alignment/>
      <protection/>
    </xf>
    <xf numFmtId="3" fontId="52" fillId="0" borderId="1" xfId="30" applyNumberFormat="1" applyFont="1" applyFill="1" applyBorder="1">
      <alignment/>
      <protection/>
    </xf>
    <xf numFmtId="3" fontId="52" fillId="0" borderId="94" xfId="30" applyNumberFormat="1" applyFont="1" applyFill="1" applyBorder="1">
      <alignment/>
      <protection/>
    </xf>
    <xf numFmtId="3" fontId="52" fillId="0" borderId="48" xfId="30" applyNumberFormat="1" applyFont="1" applyFill="1" applyBorder="1">
      <alignment/>
      <protection/>
    </xf>
    <xf numFmtId="3" fontId="52" fillId="0" borderId="6" xfId="30" applyNumberFormat="1" applyFont="1" applyFill="1" applyBorder="1">
      <alignment/>
      <protection/>
    </xf>
    <xf numFmtId="3" fontId="52" fillId="0" borderId="16" xfId="30" applyNumberFormat="1" applyFont="1" applyFill="1" applyBorder="1">
      <alignment/>
      <protection/>
    </xf>
    <xf numFmtId="3" fontId="52" fillId="0" borderId="41" xfId="30" applyNumberFormat="1" applyFont="1" applyFill="1" applyBorder="1">
      <alignment/>
      <protection/>
    </xf>
    <xf numFmtId="3" fontId="52" fillId="0" borderId="89" xfId="30" applyNumberFormat="1" applyFont="1" applyFill="1" applyBorder="1">
      <alignment/>
      <protection/>
    </xf>
    <xf numFmtId="3" fontId="52" fillId="0" borderId="95" xfId="30" applyNumberFormat="1" applyFont="1" applyFill="1" applyBorder="1">
      <alignment/>
      <protection/>
    </xf>
    <xf numFmtId="3" fontId="52" fillId="0" borderId="96" xfId="30" applyNumberFormat="1" applyFont="1" applyFill="1" applyBorder="1">
      <alignment/>
      <protection/>
    </xf>
    <xf numFmtId="3" fontId="52" fillId="0" borderId="87" xfId="30" applyNumberFormat="1" applyFont="1" applyFill="1" applyBorder="1">
      <alignment/>
      <protection/>
    </xf>
    <xf numFmtId="3" fontId="52" fillId="0" borderId="57" xfId="30" applyNumberFormat="1" applyFont="1" applyFill="1" applyBorder="1">
      <alignment/>
      <protection/>
    </xf>
    <xf numFmtId="3" fontId="52" fillId="0" borderId="58" xfId="30" applyNumberFormat="1" applyFont="1" applyFill="1" applyBorder="1">
      <alignment/>
      <protection/>
    </xf>
    <xf numFmtId="3" fontId="52" fillId="0" borderId="59" xfId="30" applyNumberFormat="1" applyFont="1" applyFill="1" applyBorder="1">
      <alignment/>
      <protection/>
    </xf>
    <xf numFmtId="3" fontId="52" fillId="0" borderId="63" xfId="30" applyNumberFormat="1" applyFont="1" applyFill="1" applyBorder="1">
      <alignment/>
      <protection/>
    </xf>
    <xf numFmtId="3" fontId="52" fillId="0" borderId="24" xfId="30" applyNumberFormat="1" applyFont="1" applyFill="1" applyBorder="1">
      <alignment/>
      <protection/>
    </xf>
    <xf numFmtId="3" fontId="52" fillId="0" borderId="64" xfId="30" applyNumberFormat="1" applyFont="1" applyFill="1" applyBorder="1">
      <alignment/>
      <protection/>
    </xf>
    <xf numFmtId="3" fontId="52" fillId="0" borderId="60" xfId="30" applyNumberFormat="1" applyFont="1" applyFill="1" applyBorder="1">
      <alignment/>
      <protection/>
    </xf>
    <xf numFmtId="3" fontId="52" fillId="0" borderId="61" xfId="30" applyNumberFormat="1" applyFont="1" applyFill="1" applyBorder="1">
      <alignment/>
      <protection/>
    </xf>
    <xf numFmtId="3" fontId="52" fillId="0" borderId="65" xfId="30" applyNumberFormat="1" applyFont="1" applyFill="1" applyBorder="1">
      <alignment/>
      <protection/>
    </xf>
    <xf numFmtId="3" fontId="52" fillId="0" borderId="66" xfId="30" applyNumberFormat="1" applyFont="1" applyFill="1" applyBorder="1">
      <alignment/>
      <protection/>
    </xf>
    <xf numFmtId="3" fontId="52" fillId="0" borderId="46" xfId="30" applyNumberFormat="1" applyFont="1" applyFill="1" applyBorder="1">
      <alignment/>
      <protection/>
    </xf>
    <xf numFmtId="3" fontId="52" fillId="0" borderId="45" xfId="30" applyNumberFormat="1" applyFont="1" applyFill="1" applyBorder="1">
      <alignment/>
      <protection/>
    </xf>
    <xf numFmtId="3" fontId="52" fillId="0" borderId="56" xfId="30" applyNumberFormat="1" applyFont="1" applyFill="1" applyBorder="1">
      <alignment/>
      <protection/>
    </xf>
    <xf numFmtId="3" fontId="54" fillId="0" borderId="42" xfId="30" applyNumberFormat="1" applyFont="1" applyFill="1" applyBorder="1">
      <alignment/>
      <protection/>
    </xf>
    <xf numFmtId="3" fontId="54" fillId="0" borderId="81" xfId="30" applyNumberFormat="1" applyFont="1" applyFill="1" applyBorder="1">
      <alignment/>
      <protection/>
    </xf>
    <xf numFmtId="3" fontId="54" fillId="0" borderId="78" xfId="30" applyNumberFormat="1" applyFont="1" applyFill="1" applyBorder="1">
      <alignment/>
      <protection/>
    </xf>
    <xf numFmtId="3" fontId="54" fillId="0" borderId="79" xfId="30" applyNumberFormat="1" applyFont="1" applyFill="1" applyBorder="1">
      <alignment/>
      <protection/>
    </xf>
    <xf numFmtId="3" fontId="54" fillId="0" borderId="77" xfId="30" applyNumberFormat="1" applyFont="1" applyFill="1" applyBorder="1">
      <alignment/>
      <protection/>
    </xf>
    <xf numFmtId="3" fontId="54" fillId="0" borderId="0" xfId="30" applyNumberFormat="1" applyFont="1" applyFill="1" applyBorder="1">
      <alignment/>
      <protection/>
    </xf>
    <xf numFmtId="3" fontId="52" fillId="0" borderId="77" xfId="30" applyNumberFormat="1" applyFont="1" applyFill="1" applyBorder="1">
      <alignment/>
      <protection/>
    </xf>
    <xf numFmtId="4" fontId="52" fillId="0" borderId="0" xfId="30" applyNumberFormat="1" applyFont="1" applyFill="1">
      <alignment/>
      <protection/>
    </xf>
    <xf numFmtId="0" fontId="74" fillId="0" borderId="0" xfId="0" applyFont="1" applyAlignment="1">
      <alignment/>
    </xf>
    <xf numFmtId="3" fontId="71" fillId="0" borderId="0" xfId="30" applyNumberFormat="1" applyFont="1" applyFill="1">
      <alignment/>
      <protection/>
    </xf>
    <xf numFmtId="3" fontId="76" fillId="0" borderId="0" xfId="30" applyNumberFormat="1" applyFont="1" applyFill="1">
      <alignment/>
      <protection/>
    </xf>
    <xf numFmtId="4" fontId="52" fillId="0" borderId="60" xfId="22" applyNumberFormat="1" applyFont="1" applyFill="1" applyBorder="1">
      <alignment/>
      <protection/>
    </xf>
    <xf numFmtId="4" fontId="52" fillId="0" borderId="58" xfId="22" applyNumberFormat="1" applyFont="1" applyFill="1" applyBorder="1">
      <alignment/>
      <protection/>
    </xf>
    <xf numFmtId="4" fontId="52" fillId="0" borderId="58" xfId="22" applyNumberFormat="1" applyFont="1" applyFill="1" applyBorder="1" applyAlignment="1">
      <alignment horizontal="right"/>
      <protection/>
    </xf>
    <xf numFmtId="4" fontId="52" fillId="0" borderId="64" xfId="22" applyNumberFormat="1" applyFont="1" applyFill="1" applyBorder="1">
      <alignment/>
      <protection/>
    </xf>
    <xf numFmtId="4" fontId="52" fillId="0" borderId="63" xfId="22" applyNumberFormat="1" applyFont="1" applyFill="1" applyBorder="1">
      <alignment/>
      <protection/>
    </xf>
    <xf numFmtId="4" fontId="52" fillId="0" borderId="62" xfId="22" applyNumberFormat="1" applyFont="1" applyFill="1" applyBorder="1">
      <alignment/>
      <protection/>
    </xf>
    <xf numFmtId="10" fontId="52" fillId="0" borderId="65" xfId="22" applyNumberFormat="1" applyFont="1" applyFill="1" applyBorder="1">
      <alignment/>
      <protection/>
    </xf>
    <xf numFmtId="0" fontId="52" fillId="0" borderId="0" xfId="0" applyFont="1" applyFill="1" applyAlignment="1">
      <alignment/>
    </xf>
    <xf numFmtId="0" fontId="77" fillId="0" borderId="0" xfId="23" applyFont="1" applyBorder="1" applyAlignment="1">
      <alignment horizontal="center"/>
      <protection/>
    </xf>
    <xf numFmtId="0" fontId="56" fillId="0" borderId="92" xfId="0" applyFont="1" applyBorder="1" applyAlignment="1">
      <alignment/>
    </xf>
    <xf numFmtId="0" fontId="49" fillId="0" borderId="92" xfId="0" applyFont="1" applyBorder="1" applyAlignment="1">
      <alignment/>
    </xf>
    <xf numFmtId="3" fontId="56" fillId="0" borderId="92" xfId="0" applyNumberFormat="1" applyFont="1" applyBorder="1" applyAlignment="1">
      <alignment/>
    </xf>
    <xf numFmtId="0" fontId="56" fillId="0" borderId="58" xfId="0" applyFont="1" applyBorder="1" applyAlignment="1">
      <alignment/>
    </xf>
    <xf numFmtId="0" fontId="49" fillId="0" borderId="58" xfId="0" applyFont="1" applyBorder="1" applyAlignment="1">
      <alignment/>
    </xf>
    <xf numFmtId="3" fontId="56" fillId="0" borderId="58" xfId="0" applyNumberFormat="1" applyFont="1" applyBorder="1" applyAlignment="1">
      <alignment/>
    </xf>
    <xf numFmtId="0" fontId="56" fillId="0" borderId="58" xfId="0" applyFont="1" applyFill="1" applyBorder="1" applyAlignment="1">
      <alignment/>
    </xf>
    <xf numFmtId="0" fontId="0" fillId="0" borderId="58" xfId="0" applyFill="1" applyBorder="1" applyAlignment="1">
      <alignment/>
    </xf>
    <xf numFmtId="3" fontId="56" fillId="0" borderId="58" xfId="0" applyNumberFormat="1" applyFont="1" applyFill="1" applyBorder="1" applyAlignment="1">
      <alignment/>
    </xf>
    <xf numFmtId="0" fontId="0" fillId="0" borderId="58" xfId="0" applyBorder="1" applyAlignment="1">
      <alignment/>
    </xf>
    <xf numFmtId="0" fontId="56" fillId="0" borderId="67" xfId="0" applyFont="1" applyFill="1" applyBorder="1" applyAlignment="1">
      <alignment/>
    </xf>
    <xf numFmtId="3" fontId="56" fillId="0" borderId="67" xfId="0" applyNumberFormat="1" applyFont="1" applyFill="1" applyBorder="1" applyAlignment="1">
      <alignment/>
    </xf>
    <xf numFmtId="0" fontId="63" fillId="0" borderId="97" xfId="0" applyFont="1" applyBorder="1" applyAlignment="1">
      <alignment/>
    </xf>
    <xf numFmtId="0" fontId="63" fillId="0" borderId="98" xfId="0" applyFont="1" applyBorder="1" applyAlignment="1">
      <alignment/>
    </xf>
    <xf numFmtId="3" fontId="63" fillId="0" borderId="98" xfId="0" applyNumberFormat="1" applyFont="1" applyBorder="1" applyAlignment="1">
      <alignment/>
    </xf>
    <xf numFmtId="0" fontId="0" fillId="0" borderId="92" xfId="0" applyBorder="1" applyAlignment="1">
      <alignment/>
    </xf>
    <xf numFmtId="3" fontId="49" fillId="0" borderId="92" xfId="0" applyNumberFormat="1" applyFont="1" applyBorder="1" applyAlignment="1">
      <alignment/>
    </xf>
    <xf numFmtId="0" fontId="56" fillId="0" borderId="58" xfId="0" applyNumberFormat="1" applyFont="1" applyBorder="1" applyAlignment="1">
      <alignment/>
    </xf>
    <xf numFmtId="175" fontId="0" fillId="0" borderId="0" xfId="0" applyNumberFormat="1" applyAlignment="1">
      <alignment/>
    </xf>
    <xf numFmtId="0" fontId="56" fillId="0" borderId="78" xfId="0" applyFont="1" applyBorder="1" applyAlignment="1">
      <alignment/>
    </xf>
    <xf numFmtId="0" fontId="56" fillId="0" borderId="99" xfId="0" applyFont="1" applyBorder="1" applyAlignment="1">
      <alignment/>
    </xf>
    <xf numFmtId="175" fontId="56" fillId="0" borderId="78" xfId="0" applyNumberFormat="1" applyFont="1" applyBorder="1" applyAlignment="1">
      <alignment/>
    </xf>
    <xf numFmtId="0" fontId="56" fillId="0" borderId="43" xfId="0" applyFont="1" applyBorder="1" applyAlignment="1">
      <alignment/>
    </xf>
    <xf numFmtId="0" fontId="0" fillId="0" borderId="100" xfId="0" applyBorder="1" applyAlignment="1">
      <alignment/>
    </xf>
    <xf numFmtId="175" fontId="0" fillId="0" borderId="92" xfId="0" applyNumberFormat="1" applyBorder="1" applyAlignment="1">
      <alignment/>
    </xf>
    <xf numFmtId="175" fontId="0" fillId="0" borderId="101" xfId="0" applyNumberFormat="1" applyBorder="1" applyAlignment="1">
      <alignment/>
    </xf>
    <xf numFmtId="175" fontId="0" fillId="0" borderId="87" xfId="0" applyNumberFormat="1" applyBorder="1" applyAlignment="1">
      <alignment/>
    </xf>
    <xf numFmtId="0" fontId="0" fillId="0" borderId="62" xfId="0" applyBorder="1" applyAlignment="1">
      <alignment/>
    </xf>
    <xf numFmtId="175" fontId="0" fillId="0" borderId="58" xfId="0" applyNumberFormat="1" applyBorder="1" applyAlignment="1">
      <alignment/>
    </xf>
    <xf numFmtId="175" fontId="0" fillId="0" borderId="64" xfId="0" applyNumberFormat="1" applyBorder="1" applyAlignment="1">
      <alignment/>
    </xf>
    <xf numFmtId="175" fontId="0" fillId="0" borderId="59" xfId="0" applyNumberFormat="1" applyBorder="1" applyAlignment="1">
      <alignment/>
    </xf>
    <xf numFmtId="0" fontId="0" fillId="0" borderId="102" xfId="0" applyBorder="1" applyAlignment="1">
      <alignment/>
    </xf>
    <xf numFmtId="175" fontId="0" fillId="0" borderId="67" xfId="0" applyNumberFormat="1" applyBorder="1" applyAlignment="1">
      <alignment/>
    </xf>
    <xf numFmtId="175" fontId="0" fillId="0" borderId="103" xfId="0" applyNumberFormat="1" applyBorder="1" applyAlignment="1">
      <alignment/>
    </xf>
    <xf numFmtId="175" fontId="0" fillId="0" borderId="86" xfId="0" applyNumberFormat="1" applyBorder="1" applyAlignment="1">
      <alignment/>
    </xf>
    <xf numFmtId="175" fontId="56" fillId="0" borderId="79" xfId="0" applyNumberFormat="1" applyFont="1" applyBorder="1" applyAlignment="1">
      <alignment/>
    </xf>
    <xf numFmtId="175" fontId="56" fillId="0" borderId="44" xfId="0" applyNumberFormat="1" applyFont="1" applyBorder="1" applyAlignment="1">
      <alignment/>
    </xf>
    <xf numFmtId="0" fontId="56" fillId="0" borderId="62" xfId="0" applyFont="1" applyBorder="1" applyAlignment="1">
      <alignment/>
    </xf>
    <xf numFmtId="175" fontId="56" fillId="0" borderId="58" xfId="0" applyNumberFormat="1" applyFont="1" applyBorder="1" applyAlignment="1">
      <alignment/>
    </xf>
    <xf numFmtId="175" fontId="56" fillId="0" borderId="64" xfId="0" applyNumberFormat="1" applyFont="1" applyBorder="1" applyAlignment="1">
      <alignment/>
    </xf>
    <xf numFmtId="175" fontId="56" fillId="0" borderId="59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0" fillId="0" borderId="73" xfId="0" applyBorder="1" applyAlignment="1">
      <alignment/>
    </xf>
    <xf numFmtId="175" fontId="0" fillId="0" borderId="69" xfId="0" applyNumberFormat="1" applyBorder="1" applyAlignment="1">
      <alignment/>
    </xf>
    <xf numFmtId="175" fontId="0" fillId="0" borderId="75" xfId="0" applyNumberFormat="1" applyBorder="1" applyAlignment="1">
      <alignment/>
    </xf>
    <xf numFmtId="175" fontId="0" fillId="0" borderId="70" xfId="0" applyNumberForma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right"/>
    </xf>
    <xf numFmtId="0" fontId="79" fillId="0" borderId="0" xfId="0" applyFont="1" applyAlignment="1">
      <alignment/>
    </xf>
    <xf numFmtId="0" fontId="64" fillId="0" borderId="42" xfId="0" applyFont="1" applyBorder="1" applyAlignment="1">
      <alignment horizontal="centerContinuous" vertical="center"/>
    </xf>
    <xf numFmtId="0" fontId="64" fillId="0" borderId="43" xfId="0" applyFont="1" applyBorder="1" applyAlignment="1">
      <alignment horizontal="centerContinuous" vertical="center"/>
    </xf>
    <xf numFmtId="0" fontId="64" fillId="0" borderId="44" xfId="0" applyFont="1" applyBorder="1" applyAlignment="1">
      <alignment horizontal="centerContinuous" vertical="center"/>
    </xf>
    <xf numFmtId="0" fontId="65" fillId="0" borderId="3" xfId="0" applyFont="1" applyBorder="1" applyAlignment="1">
      <alignment horizontal="center"/>
    </xf>
    <xf numFmtId="0" fontId="65" fillId="0" borderId="69" xfId="0" applyFont="1" applyBorder="1" applyAlignment="1">
      <alignment horizontal="center"/>
    </xf>
    <xf numFmtId="0" fontId="65" fillId="0" borderId="4" xfId="0" applyFont="1" applyBorder="1" applyAlignment="1">
      <alignment horizontal="center"/>
    </xf>
    <xf numFmtId="0" fontId="65" fillId="0" borderId="50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5" fillId="0" borderId="69" xfId="0" applyFont="1" applyBorder="1" applyAlignment="1">
      <alignment horizontal="center"/>
    </xf>
    <xf numFmtId="0" fontId="65" fillId="0" borderId="5" xfId="0" applyFont="1" applyBorder="1" applyAlignment="1">
      <alignment horizontal="center"/>
    </xf>
    <xf numFmtId="0" fontId="65" fillId="0" borderId="3" xfId="0" applyFont="1" applyBorder="1" applyAlignment="1">
      <alignment horizontal="center"/>
    </xf>
    <xf numFmtId="0" fontId="65" fillId="0" borderId="4" xfId="0" applyFont="1" applyBorder="1" applyAlignment="1">
      <alignment horizontal="center"/>
    </xf>
    <xf numFmtId="0" fontId="73" fillId="0" borderId="65" xfId="0" applyFont="1" applyBorder="1" applyAlignment="1">
      <alignment/>
    </xf>
    <xf numFmtId="3" fontId="10" fillId="0" borderId="91" xfId="0" applyNumberFormat="1" applyFont="1" applyBorder="1" applyAlignment="1">
      <alignment/>
    </xf>
    <xf numFmtId="3" fontId="10" fillId="0" borderId="90" xfId="0" applyNumberFormat="1" applyFont="1" applyBorder="1" applyAlignment="1">
      <alignment/>
    </xf>
    <xf numFmtId="4" fontId="10" fillId="0" borderId="83" xfId="0" applyNumberFormat="1" applyFont="1" applyBorder="1" applyAlignment="1">
      <alignment/>
    </xf>
    <xf numFmtId="4" fontId="10" fillId="0" borderId="2" xfId="0" applyNumberFormat="1" applyFont="1" applyBorder="1" applyAlignment="1">
      <alignment/>
    </xf>
    <xf numFmtId="3" fontId="10" fillId="0" borderId="84" xfId="0" applyNumberFormat="1" applyFont="1" applyBorder="1" applyAlignment="1">
      <alignment/>
    </xf>
    <xf numFmtId="4" fontId="10" fillId="0" borderId="104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7" xfId="0" applyFont="1" applyBorder="1" applyAlignment="1">
      <alignment/>
    </xf>
    <xf numFmtId="169" fontId="10" fillId="0" borderId="2" xfId="0" applyNumberFormat="1" applyFont="1" applyBorder="1" applyAlignment="1">
      <alignment/>
    </xf>
    <xf numFmtId="3" fontId="10" fillId="0" borderId="104" xfId="0" applyNumberFormat="1" applyFont="1" applyBorder="1" applyAlignment="1">
      <alignment/>
    </xf>
    <xf numFmtId="3" fontId="10" fillId="0" borderId="100" xfId="0" applyNumberFormat="1" applyFont="1" applyBorder="1" applyAlignment="1">
      <alignment/>
    </xf>
    <xf numFmtId="3" fontId="10" fillId="0" borderId="92" xfId="0" applyNumberFormat="1" applyFont="1" applyBorder="1" applyAlignment="1">
      <alignment/>
    </xf>
    <xf numFmtId="4" fontId="10" fillId="0" borderId="87" xfId="0" applyNumberFormat="1" applyFont="1" applyBorder="1" applyAlignment="1">
      <alignment/>
    </xf>
    <xf numFmtId="4" fontId="10" fillId="0" borderId="64" xfId="0" applyNumberFormat="1" applyFont="1" applyBorder="1" applyAlignment="1">
      <alignment/>
    </xf>
    <xf numFmtId="3" fontId="10" fillId="0" borderId="57" xfId="0" applyNumberFormat="1" applyFont="1" applyBorder="1" applyAlignment="1">
      <alignment/>
    </xf>
    <xf numFmtId="3" fontId="10" fillId="0" borderId="58" xfId="0" applyNumberFormat="1" applyFont="1" applyBorder="1" applyAlignment="1">
      <alignment/>
    </xf>
    <xf numFmtId="4" fontId="10" fillId="0" borderId="61" xfId="0" applyNumberFormat="1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58" xfId="0" applyFont="1" applyBorder="1" applyAlignment="1">
      <alignment/>
    </xf>
    <xf numFmtId="169" fontId="10" fillId="0" borderId="59" xfId="0" applyNumberFormat="1" applyFont="1" applyBorder="1" applyAlignment="1">
      <alignment/>
    </xf>
    <xf numFmtId="3" fontId="10" fillId="0" borderId="61" xfId="0" applyNumberFormat="1" applyFont="1" applyBorder="1" applyAlignment="1">
      <alignment/>
    </xf>
    <xf numFmtId="0" fontId="10" fillId="0" borderId="66" xfId="0" applyFont="1" applyBorder="1" applyAlignment="1">
      <alignment/>
    </xf>
    <xf numFmtId="0" fontId="10" fillId="0" borderId="46" xfId="0" applyFont="1" applyBorder="1" applyAlignment="1">
      <alignment/>
    </xf>
    <xf numFmtId="169" fontId="10" fillId="0" borderId="16" xfId="0" applyNumberFormat="1" applyFont="1" applyBorder="1" applyAlignment="1">
      <alignment/>
    </xf>
    <xf numFmtId="4" fontId="10" fillId="0" borderId="16" xfId="0" applyNumberFormat="1" applyFont="1" applyBorder="1" applyAlignment="1">
      <alignment/>
    </xf>
    <xf numFmtId="3" fontId="10" fillId="0" borderId="100" xfId="0" applyNumberFormat="1" applyFont="1" applyBorder="1" applyAlignment="1">
      <alignment/>
    </xf>
    <xf numFmtId="4" fontId="10" fillId="0" borderId="87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0" fontId="64" fillId="0" borderId="77" xfId="0" applyFont="1" applyBorder="1" applyAlignment="1">
      <alignment/>
    </xf>
    <xf numFmtId="3" fontId="65" fillId="0" borderId="99" xfId="0" applyNumberFormat="1" applyFont="1" applyBorder="1" applyAlignment="1">
      <alignment/>
    </xf>
    <xf numFmtId="3" fontId="65" fillId="0" borderId="78" xfId="0" applyNumberFormat="1" applyFont="1" applyBorder="1" applyAlignment="1">
      <alignment/>
    </xf>
    <xf numFmtId="4" fontId="65" fillId="0" borderId="44" xfId="0" applyNumberFormat="1" applyFont="1" applyBorder="1" applyAlignment="1">
      <alignment/>
    </xf>
    <xf numFmtId="4" fontId="65" fillId="0" borderId="43" xfId="0" applyNumberFormat="1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78" xfId="0" applyFont="1" applyBorder="1" applyAlignment="1">
      <alignment/>
    </xf>
    <xf numFmtId="169" fontId="10" fillId="0" borderId="44" xfId="0" applyNumberFormat="1" applyFont="1" applyBorder="1" applyAlignment="1">
      <alignment/>
    </xf>
    <xf numFmtId="3" fontId="65" fillId="0" borderId="43" xfId="0" applyNumberFormat="1" applyFont="1" applyBorder="1" applyAlignment="1">
      <alignment/>
    </xf>
    <xf numFmtId="0" fontId="73" fillId="9" borderId="65" xfId="0" applyFont="1" applyFill="1" applyBorder="1" applyAlignment="1">
      <alignment/>
    </xf>
    <xf numFmtId="3" fontId="10" fillId="9" borderId="100" xfId="0" applyNumberFormat="1" applyFont="1" applyFill="1" applyBorder="1" applyAlignment="1">
      <alignment/>
    </xf>
    <xf numFmtId="3" fontId="10" fillId="9" borderId="92" xfId="0" applyNumberFormat="1" applyFont="1" applyFill="1" applyBorder="1" applyAlignment="1">
      <alignment/>
    </xf>
    <xf numFmtId="4" fontId="10" fillId="9" borderId="87" xfId="0" applyNumberFormat="1" applyFont="1" applyFill="1" applyBorder="1" applyAlignment="1">
      <alignment/>
    </xf>
    <xf numFmtId="0" fontId="10" fillId="9" borderId="84" xfId="0" applyFont="1" applyFill="1" applyBorder="1" applyAlignment="1">
      <alignment/>
    </xf>
    <xf numFmtId="0" fontId="10" fillId="9" borderId="90" xfId="0" applyFont="1" applyFill="1" applyBorder="1" applyAlignment="1">
      <alignment/>
    </xf>
    <xf numFmtId="4" fontId="10" fillId="9" borderId="104" xfId="0" applyNumberFormat="1" applyFont="1" applyFill="1" applyBorder="1" applyAlignment="1">
      <alignment/>
    </xf>
    <xf numFmtId="0" fontId="10" fillId="9" borderId="83" xfId="0" applyFont="1" applyFill="1" applyBorder="1" applyAlignment="1">
      <alignment/>
    </xf>
    <xf numFmtId="0" fontId="10" fillId="9" borderId="104" xfId="0" applyFont="1" applyFill="1" applyBorder="1" applyAlignment="1">
      <alignment/>
    </xf>
    <xf numFmtId="4" fontId="10" fillId="9" borderId="83" xfId="0" applyNumberFormat="1" applyFont="1" applyFill="1" applyBorder="1" applyAlignment="1">
      <alignment/>
    </xf>
    <xf numFmtId="0" fontId="64" fillId="0" borderId="85" xfId="0" applyFont="1" applyBorder="1" applyAlignment="1">
      <alignment/>
    </xf>
    <xf numFmtId="3" fontId="10" fillId="0" borderId="55" xfId="0" applyNumberFormat="1" applyFont="1" applyBorder="1" applyAlignment="1">
      <alignment/>
    </xf>
    <xf numFmtId="3" fontId="10" fillId="0" borderId="46" xfId="0" applyNumberFormat="1" applyFont="1" applyBorder="1" applyAlignment="1">
      <alignment/>
    </xf>
    <xf numFmtId="3" fontId="10" fillId="0" borderId="88" xfId="0" applyNumberFormat="1" applyFont="1" applyBorder="1" applyAlignment="1">
      <alignment/>
    </xf>
    <xf numFmtId="3" fontId="10" fillId="0" borderId="67" xfId="0" applyNumberFormat="1" applyFont="1" applyBorder="1" applyAlignment="1">
      <alignment/>
    </xf>
    <xf numFmtId="4" fontId="10" fillId="0" borderId="105" xfId="0" applyNumberFormat="1" applyFont="1" applyBorder="1" applyAlignment="1">
      <alignment/>
    </xf>
    <xf numFmtId="164" fontId="10" fillId="0" borderId="86" xfId="0" applyNumberFormat="1" applyFont="1" applyBorder="1" applyAlignment="1">
      <alignment/>
    </xf>
    <xf numFmtId="3" fontId="10" fillId="0" borderId="105" xfId="0" applyNumberFormat="1" applyFont="1" applyBorder="1" applyAlignment="1">
      <alignment/>
    </xf>
    <xf numFmtId="4" fontId="10" fillId="0" borderId="103" xfId="0" applyNumberFormat="1" applyFont="1" applyBorder="1" applyAlignment="1">
      <alignment/>
    </xf>
    <xf numFmtId="0" fontId="73" fillId="0" borderId="76" xfId="0" applyFont="1" applyBorder="1" applyAlignment="1">
      <alignment/>
    </xf>
    <xf numFmtId="3" fontId="10" fillId="0" borderId="73" xfId="0" applyNumberFormat="1" applyFont="1" applyBorder="1" applyAlignment="1">
      <alignment/>
    </xf>
    <xf numFmtId="3" fontId="10" fillId="0" borderId="69" xfId="0" applyNumberFormat="1" applyFont="1" applyBorder="1" applyAlignment="1">
      <alignment/>
    </xf>
    <xf numFmtId="4" fontId="10" fillId="0" borderId="70" xfId="0" applyNumberFormat="1" applyFont="1" applyBorder="1" applyAlignment="1">
      <alignment/>
    </xf>
    <xf numFmtId="3" fontId="10" fillId="0" borderId="72" xfId="0" applyNumberFormat="1" applyFont="1" applyBorder="1" applyAlignment="1">
      <alignment/>
    </xf>
    <xf numFmtId="4" fontId="10" fillId="0" borderId="72" xfId="0" applyNumberFormat="1" applyFont="1" applyBorder="1" applyAlignment="1">
      <alignment/>
    </xf>
    <xf numFmtId="3" fontId="10" fillId="0" borderId="68" xfId="0" applyNumberFormat="1" applyFont="1" applyBorder="1" applyAlignment="1">
      <alignment/>
    </xf>
    <xf numFmtId="164" fontId="10" fillId="0" borderId="70" xfId="0" applyNumberFormat="1" applyFont="1" applyBorder="1" applyAlignment="1">
      <alignment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/>
    </xf>
    <xf numFmtId="0" fontId="80" fillId="0" borderId="0" xfId="0" applyFont="1" applyAlignment="1">
      <alignment/>
    </xf>
    <xf numFmtId="3" fontId="4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/>
    </xf>
    <xf numFmtId="0" fontId="70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5" borderId="0" xfId="0" applyFont="1" applyFill="1" applyAlignment="1">
      <alignment horizontal="right"/>
    </xf>
    <xf numFmtId="3" fontId="64" fillId="0" borderId="99" xfId="0" applyNumberFormat="1" applyFont="1" applyBorder="1" applyAlignment="1">
      <alignment/>
    </xf>
    <xf numFmtId="3" fontId="64" fillId="0" borderId="78" xfId="0" applyNumberFormat="1" applyFont="1" applyBorder="1" applyAlignment="1">
      <alignment/>
    </xf>
    <xf numFmtId="4" fontId="64" fillId="0" borderId="44" xfId="0" applyNumberFormat="1" applyFont="1" applyBorder="1" applyAlignment="1">
      <alignment/>
    </xf>
    <xf numFmtId="4" fontId="64" fillId="0" borderId="43" xfId="0" applyNumberFormat="1" applyFont="1" applyBorder="1" applyAlignment="1">
      <alignment/>
    </xf>
    <xf numFmtId="3" fontId="64" fillId="0" borderId="42" xfId="0" applyNumberFormat="1" applyFont="1" applyBorder="1" applyAlignment="1">
      <alignment/>
    </xf>
    <xf numFmtId="164" fontId="64" fillId="0" borderId="44" xfId="0" applyNumberFormat="1" applyFont="1" applyBorder="1" applyAlignment="1">
      <alignment/>
    </xf>
    <xf numFmtId="3" fontId="64" fillId="0" borderId="43" xfId="0" applyNumberFormat="1" applyFont="1" applyBorder="1" applyAlignment="1">
      <alignment/>
    </xf>
    <xf numFmtId="0" fontId="73" fillId="0" borderId="0" xfId="0" applyFont="1" applyAlignment="1">
      <alignment/>
    </xf>
    <xf numFmtId="0" fontId="76" fillId="0" borderId="0" xfId="0" applyFont="1" applyAlignment="1">
      <alignment/>
    </xf>
    <xf numFmtId="0" fontId="52" fillId="0" borderId="0" xfId="32" applyFont="1" applyFill="1" applyProtection="1">
      <alignment/>
      <protection locked="0"/>
    </xf>
    <xf numFmtId="0" fontId="49" fillId="0" borderId="0" xfId="26" applyFont="1" applyFill="1" applyProtection="1">
      <alignment/>
      <protection locked="0"/>
    </xf>
    <xf numFmtId="0" fontId="49" fillId="0" borderId="0" xfId="32" applyFont="1" applyFill="1" applyProtection="1">
      <alignment/>
      <protection locked="0"/>
    </xf>
    <xf numFmtId="0" fontId="75" fillId="0" borderId="0" xfId="24" applyNumberFormat="1" applyFont="1" applyFill="1" applyAlignment="1" applyProtection="1">
      <alignment horizontal="centerContinuous"/>
      <protection locked="0"/>
    </xf>
    <xf numFmtId="0" fontId="54" fillId="0" borderId="0" xfId="32" applyFont="1" applyFill="1" applyProtection="1">
      <alignment/>
      <protection locked="0"/>
    </xf>
    <xf numFmtId="0" fontId="54" fillId="0" borderId="41" xfId="26" applyFont="1" applyFill="1" applyBorder="1" applyAlignment="1" applyProtection="1">
      <alignment horizontal="centerContinuous" vertical="top" wrapText="1"/>
      <protection locked="0"/>
    </xf>
    <xf numFmtId="0" fontId="54" fillId="0" borderId="41" xfId="26" applyFont="1" applyFill="1" applyBorder="1" applyAlignment="1" applyProtection="1">
      <alignment horizontal="centerContinuous" vertical="center"/>
      <protection locked="0"/>
    </xf>
    <xf numFmtId="0" fontId="56" fillId="0" borderId="41" xfId="32" applyFont="1" applyFill="1" applyBorder="1" applyAlignment="1" applyProtection="1">
      <alignment horizontal="centerContinuous" vertical="top" wrapText="1"/>
      <protection locked="0"/>
    </xf>
    <xf numFmtId="0" fontId="56" fillId="0" borderId="1" xfId="32" applyFont="1" applyFill="1" applyBorder="1" applyAlignment="1" applyProtection="1">
      <alignment horizontal="centerContinuous" vertical="top" wrapText="1"/>
      <protection locked="0"/>
    </xf>
    <xf numFmtId="49" fontId="52" fillId="0" borderId="82" xfId="26" applyNumberFormat="1" applyFont="1" applyFill="1" applyBorder="1" applyAlignment="1" applyProtection="1">
      <alignment horizontal="center" wrapText="1"/>
      <protection locked="0"/>
    </xf>
    <xf numFmtId="49" fontId="49" fillId="0" borderId="82" xfId="26" applyNumberFormat="1" applyFont="1" applyFill="1" applyBorder="1" applyAlignment="1" applyProtection="1">
      <alignment horizontal="left" wrapText="1"/>
      <protection locked="0"/>
    </xf>
    <xf numFmtId="3" fontId="52" fillId="0" borderId="65" xfId="32" applyNumberFormat="1" applyFont="1" applyFill="1" applyBorder="1" applyAlignment="1" applyProtection="1">
      <alignment horizontal="center"/>
      <protection locked="0"/>
    </xf>
    <xf numFmtId="3" fontId="52" fillId="0" borderId="61" xfId="32" applyNumberFormat="1" applyFont="1" applyFill="1" applyBorder="1" applyAlignment="1" applyProtection="1">
      <alignment horizontal="center"/>
      <protection locked="0"/>
    </xf>
    <xf numFmtId="49" fontId="52" fillId="0" borderId="54" xfId="26" applyNumberFormat="1" applyFont="1" applyFill="1" applyBorder="1" applyAlignment="1" applyProtection="1">
      <alignment horizontal="center" vertical="top"/>
      <protection locked="0"/>
    </xf>
    <xf numFmtId="3" fontId="52" fillId="0" borderId="54" xfId="32" applyNumberFormat="1" applyFont="1" applyFill="1" applyBorder="1" applyAlignment="1" applyProtection="1">
      <alignment horizontal="right" vertical="top"/>
      <protection locked="0"/>
    </xf>
    <xf numFmtId="3" fontId="52" fillId="0" borderId="24" xfId="32" applyNumberFormat="1" applyFont="1" applyFill="1" applyBorder="1" applyAlignment="1" applyProtection="1">
      <alignment horizontal="right" vertical="top"/>
      <protection locked="0"/>
    </xf>
    <xf numFmtId="9" fontId="52" fillId="0" borderId="54" xfId="32" applyNumberFormat="1" applyFont="1" applyFill="1" applyBorder="1" applyAlignment="1" applyProtection="1">
      <alignment horizontal="right" vertical="top"/>
      <protection locked="0"/>
    </xf>
    <xf numFmtId="3" fontId="52" fillId="0" borderId="65" xfId="32" applyNumberFormat="1" applyFont="1" applyFill="1" applyBorder="1" applyAlignment="1" applyProtection="1">
      <alignment horizontal="right" vertical="top"/>
      <protection locked="0"/>
    </xf>
    <xf numFmtId="3" fontId="52" fillId="0" borderId="61" xfId="32" applyNumberFormat="1" applyFont="1" applyFill="1" applyBorder="1" applyAlignment="1" applyProtection="1">
      <alignment horizontal="right" vertical="top"/>
      <protection locked="0"/>
    </xf>
    <xf numFmtId="9" fontId="52" fillId="0" borderId="65" xfId="32" applyNumberFormat="1" applyFont="1" applyFill="1" applyBorder="1" applyAlignment="1" applyProtection="1">
      <alignment horizontal="right" vertical="top"/>
      <protection locked="0"/>
    </xf>
    <xf numFmtId="49" fontId="52" fillId="0" borderId="54" xfId="26" applyNumberFormat="1" applyFont="1" applyFill="1" applyBorder="1" applyAlignment="1" applyProtection="1">
      <alignment horizontal="center" wrapText="1"/>
      <protection locked="0"/>
    </xf>
    <xf numFmtId="3" fontId="52" fillId="0" borderId="54" xfId="32" applyNumberFormat="1" applyFont="1" applyFill="1" applyBorder="1" applyProtection="1">
      <alignment/>
      <protection locked="0"/>
    </xf>
    <xf numFmtId="3" fontId="52" fillId="0" borderId="24" xfId="32" applyNumberFormat="1" applyFont="1" applyFill="1" applyBorder="1" applyProtection="1">
      <alignment/>
      <protection locked="0"/>
    </xf>
    <xf numFmtId="3" fontId="52" fillId="0" borderId="82" xfId="32" applyNumberFormat="1" applyFont="1" applyFill="1" applyBorder="1" applyAlignment="1" applyProtection="1">
      <alignment horizontal="right" vertical="top"/>
      <protection locked="0"/>
    </xf>
    <xf numFmtId="9" fontId="52" fillId="0" borderId="54" xfId="32" applyNumberFormat="1" applyFont="1" applyFill="1" applyBorder="1" applyProtection="1">
      <alignment/>
      <protection locked="0"/>
    </xf>
    <xf numFmtId="49" fontId="52" fillId="0" borderId="45" xfId="26" applyNumberFormat="1" applyFont="1" applyFill="1" applyBorder="1" applyAlignment="1" applyProtection="1">
      <alignment horizontal="center" wrapText="1"/>
      <protection locked="0"/>
    </xf>
    <xf numFmtId="3" fontId="52" fillId="0" borderId="85" xfId="32" applyNumberFormat="1" applyFont="1" applyFill="1" applyBorder="1" applyProtection="1">
      <alignment/>
      <protection locked="0"/>
    </xf>
    <xf numFmtId="3" fontId="52" fillId="0" borderId="105" xfId="32" applyNumberFormat="1" applyFont="1" applyFill="1" applyBorder="1" applyProtection="1">
      <alignment/>
      <protection locked="0"/>
    </xf>
    <xf numFmtId="3" fontId="52" fillId="0" borderId="0" xfId="32" applyNumberFormat="1" applyFont="1" applyFill="1" applyBorder="1" applyAlignment="1" applyProtection="1">
      <alignment horizontal="right" vertical="top"/>
      <protection locked="0"/>
    </xf>
    <xf numFmtId="49" fontId="52" fillId="0" borderId="0" xfId="26" applyNumberFormat="1" applyFont="1" applyFill="1" applyBorder="1" applyProtection="1">
      <alignment/>
      <protection locked="0"/>
    </xf>
    <xf numFmtId="0" fontId="52" fillId="0" borderId="0" xfId="26" applyFont="1" applyFill="1" applyProtection="1">
      <alignment/>
      <protection locked="0"/>
    </xf>
    <xf numFmtId="0" fontId="81" fillId="0" borderId="0" xfId="0" applyFont="1" applyAlignment="1">
      <alignment horizontal="right"/>
    </xf>
    <xf numFmtId="0" fontId="54" fillId="0" borderId="0" xfId="23" applyFont="1" applyBorder="1" applyAlignment="1">
      <alignment horizontal="center"/>
      <protection/>
    </xf>
    <xf numFmtId="0" fontId="77" fillId="0" borderId="0" xfId="23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0" fillId="0" borderId="81" xfId="0" applyFont="1" applyBorder="1" applyAlignment="1">
      <alignment horizontal="center" vertical="center"/>
    </xf>
    <xf numFmtId="0" fontId="60" fillId="0" borderId="78" xfId="0" applyFont="1" applyBorder="1" applyAlignment="1">
      <alignment horizontal="center" vertical="center"/>
    </xf>
    <xf numFmtId="175" fontId="60" fillId="0" borderId="78" xfId="0" applyNumberFormat="1" applyFont="1" applyBorder="1" applyAlignment="1">
      <alignment horizontal="center" vertical="center"/>
    </xf>
    <xf numFmtId="175" fontId="60" fillId="0" borderId="79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6" fillId="0" borderId="0" xfId="0" applyFont="1" applyBorder="1" applyAlignment="1">
      <alignment horizontal="center" vertical="center"/>
    </xf>
    <xf numFmtId="175" fontId="56" fillId="0" borderId="78" xfId="0" applyNumberFormat="1" applyFont="1" applyBorder="1" applyAlignment="1">
      <alignment horizontal="center" vertical="center"/>
    </xf>
    <xf numFmtId="175" fontId="56" fillId="0" borderId="79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175" fontId="56" fillId="0" borderId="0" xfId="0" applyNumberFormat="1" applyFont="1" applyBorder="1" applyAlignment="1">
      <alignment vertical="center" wrapText="1"/>
    </xf>
    <xf numFmtId="0" fontId="56" fillId="0" borderId="78" xfId="0" applyFont="1" applyBorder="1" applyAlignment="1">
      <alignment horizontal="center" vertical="center"/>
    </xf>
    <xf numFmtId="0" fontId="56" fillId="0" borderId="78" xfId="0" applyFont="1" applyBorder="1" applyAlignment="1">
      <alignment horizontal="left" vertical="center" indent="1"/>
    </xf>
    <xf numFmtId="0" fontId="0" fillId="0" borderId="92" xfId="0" applyBorder="1" applyAlignment="1">
      <alignment horizontal="left" indent="1"/>
    </xf>
    <xf numFmtId="0" fontId="0" fillId="0" borderId="58" xfId="0" applyBorder="1" applyAlignment="1">
      <alignment horizontal="left" indent="1"/>
    </xf>
    <xf numFmtId="0" fontId="0" fillId="0" borderId="67" xfId="0" applyBorder="1" applyAlignment="1">
      <alignment horizontal="left" indent="1"/>
    </xf>
    <xf numFmtId="0" fontId="56" fillId="0" borderId="78" xfId="0" applyFont="1" applyBorder="1" applyAlignment="1">
      <alignment horizontal="left" indent="1"/>
    </xf>
    <xf numFmtId="49" fontId="56" fillId="0" borderId="78" xfId="0" applyNumberFormat="1" applyFont="1" applyBorder="1" applyAlignment="1">
      <alignment horizontal="left" indent="1"/>
    </xf>
    <xf numFmtId="0" fontId="56" fillId="0" borderId="58" xfId="0" applyFont="1" applyBorder="1" applyAlignment="1">
      <alignment horizontal="left" indent="1"/>
    </xf>
    <xf numFmtId="0" fontId="0" fillId="0" borderId="69" xfId="0" applyBorder="1" applyAlignment="1">
      <alignment horizontal="left" indent="1"/>
    </xf>
    <xf numFmtId="0" fontId="56" fillId="0" borderId="43" xfId="0" applyFont="1" applyBorder="1" applyAlignment="1">
      <alignment horizontal="left" indent="1"/>
    </xf>
    <xf numFmtId="175" fontId="56" fillId="0" borderId="78" xfId="0" applyNumberFormat="1" applyFont="1" applyBorder="1" applyAlignment="1">
      <alignment horizontal="left" vertical="center" wrapText="1"/>
    </xf>
    <xf numFmtId="0" fontId="56" fillId="0" borderId="81" xfId="0" applyFont="1" applyBorder="1" applyAlignment="1">
      <alignment horizontal="left" vertical="center" indent="1"/>
    </xf>
    <xf numFmtId="49" fontId="0" fillId="0" borderId="106" xfId="0" applyNumberFormat="1" applyBorder="1" applyAlignment="1">
      <alignment horizontal="left" indent="1"/>
    </xf>
    <xf numFmtId="49" fontId="0" fillId="0" borderId="63" xfId="0" applyNumberFormat="1" applyBorder="1" applyAlignment="1">
      <alignment horizontal="left" indent="1"/>
    </xf>
    <xf numFmtId="49" fontId="0" fillId="0" borderId="107" xfId="0" applyNumberFormat="1" applyBorder="1" applyAlignment="1">
      <alignment horizontal="left" indent="1"/>
    </xf>
    <xf numFmtId="49" fontId="56" fillId="0" borderId="81" xfId="0" applyNumberFormat="1" applyFont="1" applyBorder="1" applyAlignment="1">
      <alignment horizontal="left" indent="1"/>
    </xf>
    <xf numFmtId="0" fontId="56" fillId="0" borderId="81" xfId="0" applyFont="1" applyBorder="1" applyAlignment="1">
      <alignment horizontal="left" indent="1"/>
    </xf>
    <xf numFmtId="0" fontId="56" fillId="0" borderId="63" xfId="0" applyFont="1" applyBorder="1" applyAlignment="1">
      <alignment horizontal="left" indent="1"/>
    </xf>
    <xf numFmtId="49" fontId="0" fillId="0" borderId="74" xfId="0" applyNumberFormat="1" applyBorder="1" applyAlignment="1">
      <alignment horizontal="left" indent="1"/>
    </xf>
    <xf numFmtId="0" fontId="56" fillId="0" borderId="42" xfId="0" applyFont="1" applyBorder="1" applyAlignment="1">
      <alignment horizontal="left" indent="1"/>
    </xf>
    <xf numFmtId="49" fontId="52" fillId="0" borderId="65" xfId="22" applyNumberFormat="1" applyFont="1" applyFill="1" applyBorder="1" applyAlignment="1">
      <alignment horizontal="left" indent="1"/>
      <protection/>
    </xf>
    <xf numFmtId="0" fontId="71" fillId="0" borderId="0" xfId="0" applyFont="1" applyFill="1" applyAlignment="1">
      <alignment/>
    </xf>
    <xf numFmtId="14" fontId="52" fillId="0" borderId="41" xfId="0" applyNumberFormat="1" applyFont="1" applyBorder="1" applyAlignment="1">
      <alignment/>
    </xf>
    <xf numFmtId="0" fontId="54" fillId="0" borderId="1" xfId="0" applyFont="1" applyFill="1" applyBorder="1" applyAlignment="1">
      <alignment horizontal="center"/>
    </xf>
    <xf numFmtId="0" fontId="54" fillId="0" borderId="1" xfId="0" applyFont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52" fillId="0" borderId="45" xfId="0" applyFont="1" applyBorder="1" applyAlignment="1">
      <alignment/>
    </xf>
    <xf numFmtId="0" fontId="54" fillId="0" borderId="16" xfId="0" applyFont="1" applyFill="1" applyBorder="1" applyAlignment="1">
      <alignment horizontal="center"/>
    </xf>
    <xf numFmtId="0" fontId="54" fillId="0" borderId="1" xfId="0" applyFont="1" applyBorder="1" applyAlignment="1">
      <alignment horizontal="centerContinuous"/>
    </xf>
    <xf numFmtId="0" fontId="54" fillId="0" borderId="2" xfId="0" applyFont="1" applyBorder="1" applyAlignment="1">
      <alignment horizontal="centerContinuous"/>
    </xf>
    <xf numFmtId="0" fontId="54" fillId="0" borderId="45" xfId="0" applyFont="1" applyBorder="1" applyAlignment="1">
      <alignment horizontal="left"/>
    </xf>
    <xf numFmtId="0" fontId="54" fillId="0" borderId="4" xfId="0" applyFont="1" applyFill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4" fillId="0" borderId="77" xfId="0" applyFont="1" applyBorder="1" applyAlignment="1">
      <alignment horizontal="center"/>
    </xf>
    <xf numFmtId="164" fontId="63" fillId="0" borderId="77" xfId="0" applyNumberFormat="1" applyFont="1" applyFill="1" applyBorder="1" applyAlignment="1">
      <alignment/>
    </xf>
    <xf numFmtId="164" fontId="63" fillId="0" borderId="42" xfId="0" applyNumberFormat="1" applyFont="1" applyFill="1" applyBorder="1" applyAlignment="1">
      <alignment/>
    </xf>
    <xf numFmtId="4" fontId="63" fillId="0" borderId="77" xfId="0" applyNumberFormat="1" applyFont="1" applyFill="1" applyBorder="1" applyAlignment="1">
      <alignment/>
    </xf>
    <xf numFmtId="4" fontId="63" fillId="0" borderId="44" xfId="0" applyNumberFormat="1" applyFont="1" applyFill="1" applyBorder="1" applyAlignment="1">
      <alignment/>
    </xf>
    <xf numFmtId="0" fontId="63" fillId="0" borderId="0" xfId="0" applyFont="1" applyAlignment="1">
      <alignment/>
    </xf>
    <xf numFmtId="164" fontId="63" fillId="0" borderId="44" xfId="0" applyNumberFormat="1" applyFont="1" applyFill="1" applyBorder="1" applyAlignment="1">
      <alignment/>
    </xf>
    <xf numFmtId="4" fontId="63" fillId="0" borderId="77" xfId="0" applyNumberFormat="1" applyFont="1" applyBorder="1" applyAlignment="1">
      <alignment/>
    </xf>
    <xf numFmtId="4" fontId="63" fillId="0" borderId="4" xfId="0" applyNumberFormat="1" applyFont="1" applyBorder="1" applyAlignment="1">
      <alignment/>
    </xf>
    <xf numFmtId="4" fontId="63" fillId="0" borderId="44" xfId="0" applyNumberFormat="1" applyFont="1" applyBorder="1" applyAlignment="1">
      <alignment/>
    </xf>
    <xf numFmtId="164" fontId="49" fillId="0" borderId="0" xfId="0" applyNumberFormat="1" applyFont="1" applyFill="1" applyAlignment="1">
      <alignment/>
    </xf>
    <xf numFmtId="164" fontId="63" fillId="0" borderId="42" xfId="0" applyNumberFormat="1" applyFont="1" applyBorder="1" applyAlignment="1">
      <alignment/>
    </xf>
    <xf numFmtId="164" fontId="63" fillId="0" borderId="77" xfId="0" applyNumberFormat="1" applyFont="1" applyBorder="1" applyAlignment="1">
      <alignment/>
    </xf>
    <xf numFmtId="0" fontId="60" fillId="0" borderId="77" xfId="0" applyFont="1" applyFill="1" applyBorder="1" applyAlignment="1">
      <alignment/>
    </xf>
    <xf numFmtId="164" fontId="60" fillId="0" borderId="44" xfId="0" applyNumberFormat="1" applyFont="1" applyFill="1" applyBorder="1" applyAlignment="1">
      <alignment/>
    </xf>
    <xf numFmtId="4" fontId="60" fillId="0" borderId="77" xfId="0" applyNumberFormat="1" applyFont="1" applyBorder="1" applyAlignment="1">
      <alignment/>
    </xf>
    <xf numFmtId="4" fontId="60" fillId="0" borderId="44" xfId="0" applyNumberFormat="1" applyFont="1" applyBorder="1" applyAlignment="1">
      <alignment/>
    </xf>
    <xf numFmtId="0" fontId="67" fillId="0" borderId="0" xfId="0" applyFont="1" applyAlignment="1">
      <alignment/>
    </xf>
    <xf numFmtId="49" fontId="52" fillId="0" borderId="54" xfId="26" applyNumberFormat="1" applyFont="1" applyFill="1" applyBorder="1" applyAlignment="1" applyProtection="1">
      <alignment horizontal="center" vertical="center"/>
      <protection locked="0"/>
    </xf>
    <xf numFmtId="3" fontId="52" fillId="0" borderId="54" xfId="32" applyNumberFormat="1" applyFont="1" applyFill="1" applyBorder="1" applyAlignment="1" applyProtection="1">
      <alignment horizontal="right" vertical="center"/>
      <protection locked="0"/>
    </xf>
    <xf numFmtId="3" fontId="52" fillId="0" borderId="24" xfId="32" applyNumberFormat="1" applyFont="1" applyFill="1" applyBorder="1" applyAlignment="1" applyProtection="1">
      <alignment horizontal="right" vertical="center"/>
      <protection locked="0"/>
    </xf>
    <xf numFmtId="9" fontId="52" fillId="0" borderId="54" xfId="32" applyNumberFormat="1" applyFont="1" applyFill="1" applyBorder="1" applyAlignment="1" applyProtection="1">
      <alignment horizontal="right" vertical="center"/>
      <protection locked="0"/>
    </xf>
    <xf numFmtId="0" fontId="49" fillId="0" borderId="0" xfId="32" applyFont="1" applyFill="1" applyAlignment="1" applyProtection="1">
      <alignment vertical="center"/>
      <protection locked="0"/>
    </xf>
    <xf numFmtId="49" fontId="82" fillId="0" borderId="77" xfId="32" applyNumberFormat="1" applyFont="1" applyFill="1" applyBorder="1" applyAlignment="1" applyProtection="1">
      <alignment horizontal="right" wrapText="1"/>
      <protection locked="0"/>
    </xf>
    <xf numFmtId="3" fontId="82" fillId="0" borderId="77" xfId="32" applyNumberFormat="1" applyFont="1" applyFill="1" applyBorder="1" applyProtection="1">
      <alignment/>
      <protection locked="0"/>
    </xf>
    <xf numFmtId="9" fontId="82" fillId="0" borderId="77" xfId="32" applyNumberFormat="1" applyFont="1" applyFill="1" applyBorder="1" applyProtection="1">
      <alignment/>
      <protection locked="0"/>
    </xf>
    <xf numFmtId="0" fontId="82" fillId="0" borderId="0" xfId="32" applyFont="1" applyFill="1" applyProtection="1">
      <alignment/>
      <protection locked="0"/>
    </xf>
    <xf numFmtId="49" fontId="54" fillId="0" borderId="54" xfId="26" applyNumberFormat="1" applyFont="1" applyFill="1" applyBorder="1" applyAlignment="1" applyProtection="1">
      <alignment horizontal="center" wrapText="1"/>
      <protection locked="0"/>
    </xf>
    <xf numFmtId="3" fontId="54" fillId="0" borderId="77" xfId="32" applyNumberFormat="1" applyFont="1" applyFill="1" applyBorder="1" applyProtection="1">
      <alignment/>
      <protection locked="0"/>
    </xf>
    <xf numFmtId="9" fontId="54" fillId="0" borderId="77" xfId="32" applyNumberFormat="1" applyFont="1" applyFill="1" applyBorder="1" applyProtection="1">
      <alignment/>
      <protection locked="0"/>
    </xf>
    <xf numFmtId="0" fontId="56" fillId="0" borderId="0" xfId="32" applyFont="1" applyFill="1" applyProtection="1">
      <alignment/>
      <protection locked="0"/>
    </xf>
    <xf numFmtId="49" fontId="49" fillId="0" borderId="54" xfId="26" applyNumberFormat="1" applyFont="1" applyFill="1" applyBorder="1" applyAlignment="1" applyProtection="1">
      <alignment horizontal="left" wrapText="1" indent="1"/>
      <protection locked="0"/>
    </xf>
    <xf numFmtId="49" fontId="49" fillId="0" borderId="54" xfId="26" applyNumberFormat="1" applyFont="1" applyFill="1" applyBorder="1" applyAlignment="1" applyProtection="1">
      <alignment horizontal="left" vertical="center" wrapText="1" indent="1"/>
      <protection locked="0"/>
    </xf>
    <xf numFmtId="49" fontId="49" fillId="0" borderId="54" xfId="26" applyNumberFormat="1" applyFont="1" applyFill="1" applyBorder="1" applyAlignment="1" applyProtection="1">
      <alignment horizontal="left" vertical="top" wrapText="1" indent="1"/>
      <protection locked="0"/>
    </xf>
    <xf numFmtId="49" fontId="54" fillId="0" borderId="77" xfId="24" applyNumberFormat="1" applyFont="1" applyFill="1" applyBorder="1" applyAlignment="1" applyProtection="1" quotePrefix="1">
      <alignment horizontal="left" wrapText="1" indent="1"/>
      <protection locked="0"/>
    </xf>
    <xf numFmtId="49" fontId="54" fillId="0" borderId="54" xfId="26" applyNumberFormat="1" applyFont="1" applyFill="1" applyBorder="1" applyAlignment="1" applyProtection="1">
      <alignment horizontal="left" wrapText="1" indent="1"/>
      <protection locked="0"/>
    </xf>
    <xf numFmtId="49" fontId="54" fillId="0" borderId="45" xfId="26" applyNumberFormat="1" applyFont="1" applyFill="1" applyBorder="1" applyAlignment="1" applyProtection="1">
      <alignment horizontal="left" wrapText="1" indent="1"/>
      <protection locked="0"/>
    </xf>
    <xf numFmtId="49" fontId="82" fillId="0" borderId="77" xfId="24" applyNumberFormat="1" applyFont="1" applyFill="1" applyBorder="1" applyAlignment="1" applyProtection="1">
      <alignment horizontal="left" wrapText="1" indent="1"/>
      <protection locked="0"/>
    </xf>
    <xf numFmtId="0" fontId="55" fillId="0" borderId="0" xfId="0" applyFont="1" applyAlignment="1">
      <alignment horizontal="center"/>
    </xf>
    <xf numFmtId="0" fontId="54" fillId="0" borderId="0" xfId="20" applyFont="1">
      <alignment/>
      <protection/>
    </xf>
    <xf numFmtId="0" fontId="54" fillId="0" borderId="0" xfId="20" applyFont="1" applyAlignment="1">
      <alignment horizontal="right"/>
      <protection/>
    </xf>
    <xf numFmtId="0" fontId="71" fillId="0" borderId="0" xfId="20" applyFont="1">
      <alignment/>
      <protection/>
    </xf>
    <xf numFmtId="0" fontId="67" fillId="0" borderId="0" xfId="20" applyFont="1">
      <alignment/>
      <protection/>
    </xf>
    <xf numFmtId="0" fontId="67" fillId="0" borderId="0" xfId="20" applyFont="1" applyBorder="1" applyAlignment="1">
      <alignment/>
      <protection/>
    </xf>
    <xf numFmtId="0" fontId="67" fillId="0" borderId="0" xfId="20" applyFont="1" applyAlignment="1">
      <alignment/>
      <protection/>
    </xf>
    <xf numFmtId="0" fontId="65" fillId="0" borderId="93" xfId="20" applyFont="1" applyBorder="1" applyAlignment="1">
      <alignment horizontal="center" vertical="center"/>
      <protection/>
    </xf>
    <xf numFmtId="0" fontId="66" fillId="0" borderId="47" xfId="20" applyFont="1" applyBorder="1" applyAlignment="1">
      <alignment horizontal="center" vertical="center" wrapText="1"/>
      <protection/>
    </xf>
    <xf numFmtId="0" fontId="65" fillId="0" borderId="47" xfId="20" applyFont="1" applyBorder="1" applyAlignment="1">
      <alignment horizontal="center" vertical="center" wrapText="1"/>
      <protection/>
    </xf>
    <xf numFmtId="0" fontId="65" fillId="0" borderId="108" xfId="20" applyFont="1" applyFill="1" applyBorder="1" applyAlignment="1">
      <alignment horizontal="center" vertical="center" wrapText="1"/>
      <protection/>
    </xf>
    <xf numFmtId="0" fontId="65" fillId="0" borderId="47" xfId="20" applyFont="1" applyFill="1" applyBorder="1" applyAlignment="1">
      <alignment horizontal="center" vertical="center" wrapText="1"/>
      <protection/>
    </xf>
    <xf numFmtId="0" fontId="65" fillId="0" borderId="2" xfId="20" applyFont="1" applyFill="1" applyBorder="1" applyAlignment="1">
      <alignment horizontal="center" vertical="center" wrapText="1"/>
      <protection/>
    </xf>
    <xf numFmtId="0" fontId="49" fillId="0" borderId="0" xfId="20" applyAlignment="1">
      <alignment vertical="center"/>
      <protection/>
    </xf>
    <xf numFmtId="0" fontId="83" fillId="0" borderId="0" xfId="0" applyFont="1" applyAlignment="1">
      <alignment horizontal="centerContinuous"/>
    </xf>
    <xf numFmtId="0" fontId="84" fillId="0" borderId="0" xfId="0" applyFont="1" applyAlignment="1">
      <alignment horizontal="centerContinuous"/>
    </xf>
    <xf numFmtId="0" fontId="85" fillId="0" borderId="0" xfId="0" applyFont="1" applyAlignment="1">
      <alignment horizontal="centerContinuous"/>
    </xf>
    <xf numFmtId="0" fontId="49" fillId="0" borderId="0" xfId="0" applyFont="1" applyAlignment="1">
      <alignment horizontal="centerContinuous"/>
    </xf>
    <xf numFmtId="0" fontId="86" fillId="0" borderId="0" xfId="0" applyFont="1" applyAlignment="1">
      <alignment horizontal="centerContinuous"/>
    </xf>
    <xf numFmtId="0" fontId="85" fillId="0" borderId="0" xfId="0" applyFont="1" applyAlignment="1">
      <alignment/>
    </xf>
    <xf numFmtId="0" fontId="87" fillId="0" borderId="0" xfId="0" applyFont="1" applyAlignment="1">
      <alignment horizontal="centerContinuous"/>
    </xf>
    <xf numFmtId="0" fontId="88" fillId="0" borderId="0" xfId="0" applyFont="1" applyAlignment="1">
      <alignment horizontal="centerContinuous"/>
    </xf>
    <xf numFmtId="0" fontId="89" fillId="2" borderId="7" xfId="0" applyFont="1" applyFill="1" applyBorder="1" applyAlignment="1">
      <alignment horizontal="centerContinuous"/>
    </xf>
    <xf numFmtId="0" fontId="89" fillId="2" borderId="20" xfId="0" applyFont="1" applyFill="1" applyBorder="1" applyAlignment="1">
      <alignment horizontal="centerContinuous"/>
    </xf>
    <xf numFmtId="0" fontId="90" fillId="5" borderId="7" xfId="0" applyFont="1" applyFill="1" applyBorder="1" applyAlignment="1">
      <alignment horizontal="centerContinuous"/>
    </xf>
    <xf numFmtId="0" fontId="73" fillId="5" borderId="1" xfId="0" applyFont="1" applyFill="1" applyBorder="1" applyAlignment="1">
      <alignment horizontal="centerContinuous"/>
    </xf>
    <xf numFmtId="0" fontId="73" fillId="5" borderId="2" xfId="0" applyFont="1" applyFill="1" applyBorder="1" applyAlignment="1">
      <alignment horizontal="centerContinuous"/>
    </xf>
    <xf numFmtId="0" fontId="90" fillId="5" borderId="20" xfId="0" applyFont="1" applyFill="1" applyBorder="1" applyAlignment="1">
      <alignment horizontal="centerContinuous"/>
    </xf>
    <xf numFmtId="0" fontId="91" fillId="0" borderId="14" xfId="0" applyFont="1" applyBorder="1" applyAlignment="1">
      <alignment/>
    </xf>
    <xf numFmtId="0" fontId="56" fillId="5" borderId="7" xfId="0" applyFont="1" applyFill="1" applyBorder="1" applyAlignment="1">
      <alignment/>
    </xf>
    <xf numFmtId="0" fontId="92" fillId="8" borderId="31" xfId="0" applyFont="1" applyFill="1" applyBorder="1" applyAlignment="1">
      <alignment textRotation="255"/>
    </xf>
    <xf numFmtId="0" fontId="92" fillId="8" borderId="31" xfId="0" applyFont="1" applyFill="1" applyBorder="1" applyAlignment="1">
      <alignment horizontal="centerContinuous"/>
    </xf>
    <xf numFmtId="0" fontId="93" fillId="8" borderId="109" xfId="0" applyFont="1" applyFill="1" applyBorder="1" applyAlignment="1">
      <alignment textRotation="255"/>
    </xf>
    <xf numFmtId="0" fontId="94" fillId="5" borderId="110" xfId="0" applyFont="1" applyFill="1" applyBorder="1" applyAlignment="1">
      <alignment horizontal="centerContinuous"/>
    </xf>
    <xf numFmtId="0" fontId="94" fillId="5" borderId="111" xfId="0" applyFont="1" applyFill="1" applyBorder="1" applyAlignment="1">
      <alignment horizontal="centerContinuous"/>
    </xf>
    <xf numFmtId="0" fontId="94" fillId="5" borderId="112" xfId="0" applyFont="1" applyFill="1" applyBorder="1" applyAlignment="1">
      <alignment horizontal="centerContinuous"/>
    </xf>
    <xf numFmtId="0" fontId="94" fillId="5" borderId="113" xfId="0" applyFont="1" applyFill="1" applyBorder="1" applyAlignment="1">
      <alignment horizontal="centerContinuous"/>
    </xf>
    <xf numFmtId="0" fontId="95" fillId="5" borderId="7" xfId="0" applyFont="1" applyFill="1" applyBorder="1" applyAlignment="1">
      <alignment horizontal="centerContinuous"/>
    </xf>
    <xf numFmtId="0" fontId="95" fillId="5" borderId="2" xfId="0" applyFont="1" applyFill="1" applyBorder="1" applyAlignment="1">
      <alignment horizontal="centerContinuous"/>
    </xf>
    <xf numFmtId="0" fontId="95" fillId="5" borderId="20" xfId="0" applyFont="1" applyFill="1" applyBorder="1" applyAlignment="1">
      <alignment horizontal="centerContinuous"/>
    </xf>
    <xf numFmtId="0" fontId="95" fillId="5" borderId="4" xfId="0" applyFont="1" applyFill="1" applyBorder="1" applyAlignment="1">
      <alignment horizontal="centerContinuous"/>
    </xf>
    <xf numFmtId="0" fontId="96" fillId="10" borderId="7" xfId="0" applyFont="1" applyFill="1" applyBorder="1" applyAlignment="1">
      <alignment horizontal="centerContinuous"/>
    </xf>
    <xf numFmtId="0" fontId="97" fillId="10" borderId="1" xfId="0" applyFont="1" applyFill="1" applyBorder="1" applyAlignment="1">
      <alignment horizontal="centerContinuous"/>
    </xf>
    <xf numFmtId="0" fontId="97" fillId="10" borderId="2" xfId="0" applyFont="1" applyFill="1" applyBorder="1" applyAlignment="1">
      <alignment horizontal="centerContinuous"/>
    </xf>
    <xf numFmtId="0" fontId="96" fillId="10" borderId="20" xfId="0" applyFont="1" applyFill="1" applyBorder="1" applyAlignment="1">
      <alignment horizontal="centerContinuous"/>
    </xf>
    <xf numFmtId="0" fontId="98" fillId="10" borderId="3" xfId="0" applyFont="1" applyFill="1" applyBorder="1" applyAlignment="1">
      <alignment horizontal="centerContinuous"/>
    </xf>
    <xf numFmtId="0" fontId="98" fillId="10" borderId="4" xfId="0" applyFont="1" applyFill="1" applyBorder="1" applyAlignment="1">
      <alignment horizontal="centerContinuous"/>
    </xf>
    <xf numFmtId="0" fontId="99" fillId="4" borderId="1" xfId="0" applyFont="1" applyFill="1" applyBorder="1" applyAlignment="1">
      <alignment horizontal="centerContinuous"/>
    </xf>
    <xf numFmtId="0" fontId="99" fillId="4" borderId="2" xfId="0" applyFont="1" applyFill="1" applyBorder="1" applyAlignment="1">
      <alignment horizontal="centerContinuous"/>
    </xf>
    <xf numFmtId="0" fontId="100" fillId="4" borderId="20" xfId="0" applyFont="1" applyFill="1" applyBorder="1" applyAlignment="1">
      <alignment horizontal="centerContinuous"/>
    </xf>
    <xf numFmtId="0" fontId="101" fillId="4" borderId="3" xfId="0" applyFont="1" applyFill="1" applyBorder="1" applyAlignment="1">
      <alignment horizontal="centerContinuous"/>
    </xf>
    <xf numFmtId="0" fontId="101" fillId="4" borderId="4" xfId="0" applyFont="1" applyFill="1" applyBorder="1" applyAlignment="1">
      <alignment horizontal="centerContinuous"/>
    </xf>
    <xf numFmtId="0" fontId="52" fillId="0" borderId="0" xfId="21" applyFont="1">
      <alignment/>
      <protection/>
    </xf>
    <xf numFmtId="0" fontId="102" fillId="0" borderId="0" xfId="21" applyFont="1" applyFill="1" applyBorder="1">
      <alignment/>
      <protection/>
    </xf>
    <xf numFmtId="0" fontId="103" fillId="0" borderId="0" xfId="21" applyFont="1" applyFill="1" applyBorder="1">
      <alignment/>
      <protection/>
    </xf>
    <xf numFmtId="49" fontId="104" fillId="0" borderId="0" xfId="21" applyNumberFormat="1" applyFont="1" applyAlignment="1">
      <alignment horizontal="center" wrapText="1"/>
      <protection/>
    </xf>
    <xf numFmtId="0" fontId="105" fillId="0" borderId="0" xfId="21" applyFont="1">
      <alignment/>
      <protection/>
    </xf>
    <xf numFmtId="0" fontId="52" fillId="0" borderId="0" xfId="21" applyFont="1" applyAlignment="1">
      <alignment horizontal="centerContinuous"/>
      <protection/>
    </xf>
    <xf numFmtId="0" fontId="71" fillId="0" borderId="0" xfId="21" applyFont="1" applyFill="1" applyAlignment="1">
      <alignment horizontal="right"/>
      <protection/>
    </xf>
    <xf numFmtId="0" fontId="71" fillId="0" borderId="0" xfId="21" applyFont="1">
      <alignment/>
      <protection/>
    </xf>
    <xf numFmtId="0" fontId="55" fillId="0" borderId="49" xfId="21" applyFont="1" applyBorder="1" applyAlignment="1">
      <alignment horizontal="center" vertical="center" wrapText="1"/>
      <protection/>
    </xf>
    <xf numFmtId="0" fontId="55" fillId="0" borderId="49" xfId="21" applyFont="1" applyFill="1" applyBorder="1" applyAlignment="1">
      <alignment horizontal="center" vertical="center" wrapText="1"/>
      <protection/>
    </xf>
    <xf numFmtId="0" fontId="71" fillId="5" borderId="77" xfId="21" applyFont="1" applyFill="1" applyBorder="1">
      <alignment/>
      <protection/>
    </xf>
    <xf numFmtId="49" fontId="71" fillId="5" borderId="43" xfId="21" applyNumberFormat="1" applyFont="1" applyFill="1" applyBorder="1" applyAlignment="1">
      <alignment horizontal="center" vertical="center"/>
      <protection/>
    </xf>
    <xf numFmtId="0" fontId="71" fillId="5" borderId="77" xfId="27" applyFont="1" applyFill="1" applyBorder="1" applyAlignment="1">
      <alignment horizontal="center"/>
      <protection/>
    </xf>
    <xf numFmtId="0" fontId="71" fillId="5" borderId="43" xfId="27" applyFont="1" applyFill="1" applyBorder="1" applyAlignment="1">
      <alignment horizontal="center"/>
      <protection/>
    </xf>
    <xf numFmtId="0" fontId="71" fillId="5" borderId="49" xfId="27" applyFont="1" applyFill="1" applyBorder="1" applyAlignment="1">
      <alignment horizontal="center"/>
      <protection/>
    </xf>
    <xf numFmtId="0" fontId="71" fillId="5" borderId="3" xfId="27" applyFont="1" applyFill="1" applyBorder="1" applyAlignment="1">
      <alignment horizontal="center"/>
      <protection/>
    </xf>
    <xf numFmtId="0" fontId="71" fillId="5" borderId="44" xfId="27" applyFont="1" applyFill="1" applyBorder="1" applyAlignment="1">
      <alignment horizontal="center"/>
      <protection/>
    </xf>
    <xf numFmtId="49" fontId="71" fillId="5" borderId="77" xfId="21" applyNumberFormat="1" applyFont="1" applyFill="1" applyBorder="1" applyAlignment="1">
      <alignment horizontal="center" vertical="center"/>
      <protection/>
    </xf>
    <xf numFmtId="49" fontId="71" fillId="5" borderId="2" xfId="21" applyNumberFormat="1" applyFont="1" applyFill="1" applyBorder="1" applyAlignment="1">
      <alignment horizontal="center" vertical="center"/>
      <protection/>
    </xf>
    <xf numFmtId="0" fontId="71" fillId="5" borderId="0" xfId="21" applyFont="1" applyFill="1">
      <alignment/>
      <protection/>
    </xf>
    <xf numFmtId="0" fontId="71" fillId="0" borderId="82" xfId="21" applyFont="1" applyBorder="1">
      <alignment/>
      <protection/>
    </xf>
    <xf numFmtId="0" fontId="75" fillId="9" borderId="43" xfId="21" applyFont="1" applyFill="1" applyBorder="1" applyAlignment="1">
      <alignment horizontal="left"/>
      <protection/>
    </xf>
    <xf numFmtId="3" fontId="107" fillId="3" borderId="77" xfId="21" applyNumberFormat="1" applyFont="1" applyFill="1" applyBorder="1" applyAlignment="1">
      <alignment horizontal="right"/>
      <protection/>
    </xf>
    <xf numFmtId="3" fontId="71" fillId="3" borderId="77" xfId="21" applyNumberFormat="1" applyFont="1" applyFill="1" applyBorder="1" applyAlignment="1">
      <alignment horizontal="right"/>
      <protection/>
    </xf>
    <xf numFmtId="10" fontId="107" fillId="3" borderId="77" xfId="21" applyNumberFormat="1" applyFont="1" applyFill="1" applyBorder="1" applyAlignment="1">
      <alignment horizontal="right"/>
      <protection/>
    </xf>
    <xf numFmtId="3" fontId="108" fillId="3" borderId="77" xfId="21" applyNumberFormat="1" applyFont="1" applyFill="1" applyBorder="1" applyAlignment="1">
      <alignment horizontal="left"/>
      <protection/>
    </xf>
    <xf numFmtId="10" fontId="107" fillId="3" borderId="65" xfId="21" applyNumberFormat="1" applyFont="1" applyFill="1" applyBorder="1" applyAlignment="1">
      <alignment horizontal="right"/>
      <protection/>
    </xf>
    <xf numFmtId="3" fontId="71" fillId="0" borderId="77" xfId="21" applyNumberFormat="1" applyFont="1" applyBorder="1" applyAlignment="1" applyProtection="1">
      <alignment horizontal="right"/>
      <protection locked="0"/>
    </xf>
    <xf numFmtId="0" fontId="71" fillId="0" borderId="65" xfId="21" applyFont="1" applyBorder="1">
      <alignment/>
      <protection/>
    </xf>
    <xf numFmtId="0" fontId="76" fillId="0" borderId="24" xfId="21" applyFont="1" applyBorder="1" applyAlignment="1">
      <alignment horizontal="left"/>
      <protection/>
    </xf>
    <xf numFmtId="3" fontId="55" fillId="0" borderId="14" xfId="21" applyNumberFormat="1" applyFont="1" applyFill="1" applyBorder="1" applyAlignment="1" applyProtection="1">
      <alignment horizontal="center"/>
      <protection/>
    </xf>
    <xf numFmtId="3" fontId="71" fillId="0" borderId="14" xfId="21" applyNumberFormat="1" applyFont="1" applyBorder="1" applyAlignment="1">
      <alignment horizontal="right"/>
      <protection/>
    </xf>
    <xf numFmtId="3" fontId="71" fillId="0" borderId="14" xfId="21" applyNumberFormat="1" applyFont="1" applyFill="1" applyBorder="1" applyAlignment="1" applyProtection="1">
      <alignment horizontal="center"/>
      <protection/>
    </xf>
    <xf numFmtId="3" fontId="71" fillId="0" borderId="54" xfId="21" applyNumberFormat="1" applyFont="1" applyFill="1" applyBorder="1" applyAlignment="1" applyProtection="1">
      <alignment horizontal="center"/>
      <protection/>
    </xf>
    <xf numFmtId="0" fontId="71" fillId="0" borderId="24" xfId="21" applyFont="1" applyBorder="1" applyAlignment="1">
      <alignment horizontal="left"/>
      <protection/>
    </xf>
    <xf numFmtId="0" fontId="71" fillId="0" borderId="14" xfId="21" applyFont="1" applyBorder="1" applyAlignment="1" applyProtection="1">
      <alignment horizontal="right"/>
      <protection/>
    </xf>
    <xf numFmtId="3" fontId="71" fillId="0" borderId="65" xfId="21" applyNumberFormat="1" applyFont="1" applyFill="1" applyBorder="1" applyAlignment="1" applyProtection="1">
      <alignment horizontal="right"/>
      <protection/>
    </xf>
    <xf numFmtId="3" fontId="71" fillId="0" borderId="14" xfId="21" applyNumberFormat="1" applyFont="1" applyBorder="1" applyAlignment="1" applyProtection="1">
      <alignment horizontal="right"/>
      <protection/>
    </xf>
    <xf numFmtId="3" fontId="71" fillId="0" borderId="54" xfId="21" applyNumberFormat="1" applyFont="1" applyBorder="1" applyAlignment="1" applyProtection="1">
      <alignment horizontal="right"/>
      <protection/>
    </xf>
    <xf numFmtId="3" fontId="71" fillId="0" borderId="87" xfId="21" applyNumberFormat="1" applyFont="1" applyBorder="1" applyAlignment="1" applyProtection="1">
      <alignment horizontal="right"/>
      <protection/>
    </xf>
    <xf numFmtId="0" fontId="55" fillId="0" borderId="54" xfId="21" applyFont="1" applyBorder="1" applyAlignment="1">
      <alignment horizontal="center"/>
      <protection/>
    </xf>
    <xf numFmtId="0" fontId="75" fillId="9" borderId="24" xfId="21" applyFont="1" applyFill="1" applyBorder="1" applyAlignment="1">
      <alignment horizontal="left"/>
      <protection/>
    </xf>
    <xf numFmtId="3" fontId="71" fillId="5" borderId="14" xfId="21" applyNumberFormat="1" applyFont="1" applyFill="1" applyBorder="1" applyAlignment="1" applyProtection="1">
      <alignment horizontal="right"/>
      <protection locked="0"/>
    </xf>
    <xf numFmtId="3" fontId="71" fillId="0" borderId="14" xfId="21" applyNumberFormat="1" applyFont="1" applyFill="1" applyBorder="1" applyAlignment="1" applyProtection="1">
      <alignment horizontal="right"/>
      <protection/>
    </xf>
    <xf numFmtId="10" fontId="71" fillId="0" borderId="54" xfId="21" applyNumberFormat="1" applyFont="1" applyFill="1" applyBorder="1" applyAlignment="1" applyProtection="1">
      <alignment horizontal="right"/>
      <protection/>
    </xf>
    <xf numFmtId="0" fontId="55" fillId="9" borderId="24" xfId="21" applyFont="1" applyFill="1" applyBorder="1" applyAlignment="1">
      <alignment horizontal="left"/>
      <protection/>
    </xf>
    <xf numFmtId="3" fontId="71" fillId="0" borderId="14" xfId="21" applyNumberFormat="1" applyFont="1" applyFill="1" applyBorder="1" applyAlignment="1" applyProtection="1">
      <alignment horizontal="right"/>
      <protection locked="0"/>
    </xf>
    <xf numFmtId="10" fontId="109" fillId="3" borderId="65" xfId="21" applyNumberFormat="1" applyFont="1" applyFill="1" applyBorder="1" applyAlignment="1">
      <alignment horizontal="right"/>
      <protection/>
    </xf>
    <xf numFmtId="3" fontId="71" fillId="0" borderId="14" xfId="21" applyNumberFormat="1" applyFont="1" applyBorder="1" applyAlignment="1" applyProtection="1">
      <alignment horizontal="right"/>
      <protection locked="0"/>
    </xf>
    <xf numFmtId="3" fontId="71" fillId="0" borderId="54" xfId="21" applyNumberFormat="1" applyFont="1" applyBorder="1" applyAlignment="1" applyProtection="1">
      <alignment horizontal="right"/>
      <protection locked="0"/>
    </xf>
    <xf numFmtId="3" fontId="71" fillId="0" borderId="87" xfId="21" applyNumberFormat="1" applyFont="1" applyBorder="1" applyAlignment="1" applyProtection="1">
      <alignment horizontal="right"/>
      <protection locked="0"/>
    </xf>
    <xf numFmtId="0" fontId="55" fillId="0" borderId="65" xfId="21" applyFont="1" applyBorder="1" applyAlignment="1">
      <alignment horizontal="center"/>
      <protection/>
    </xf>
    <xf numFmtId="3" fontId="71" fillId="0" borderId="66" xfId="21" applyNumberFormat="1" applyFont="1" applyBorder="1" applyAlignment="1" applyProtection="1">
      <alignment horizontal="right"/>
      <protection locked="0"/>
    </xf>
    <xf numFmtId="3" fontId="107" fillId="3" borderId="65" xfId="21" applyNumberFormat="1" applyFont="1" applyFill="1" applyBorder="1" applyAlignment="1">
      <alignment horizontal="right"/>
      <protection/>
    </xf>
    <xf numFmtId="3" fontId="71" fillId="0" borderId="54" xfId="21" applyNumberFormat="1" applyFont="1" applyFill="1" applyBorder="1" applyAlignment="1" applyProtection="1">
      <alignment horizontal="right"/>
      <protection locked="0"/>
    </xf>
    <xf numFmtId="0" fontId="76" fillId="0" borderId="24" xfId="21" applyFont="1" applyFill="1" applyBorder="1" applyAlignment="1">
      <alignment horizontal="left"/>
      <protection/>
    </xf>
    <xf numFmtId="3" fontId="71" fillId="0" borderId="14" xfId="21" applyNumberFormat="1" applyFont="1" applyFill="1" applyBorder="1" applyAlignment="1">
      <alignment horizontal="right"/>
      <protection/>
    </xf>
    <xf numFmtId="0" fontId="71" fillId="0" borderId="24" xfId="21" applyFont="1" applyFill="1" applyBorder="1" applyAlignment="1">
      <alignment horizontal="left"/>
      <protection/>
    </xf>
    <xf numFmtId="10" fontId="107" fillId="0" borderId="65" xfId="21" applyNumberFormat="1" applyFont="1" applyFill="1" applyBorder="1" applyAlignment="1" applyProtection="1">
      <alignment horizontal="right"/>
      <protection/>
    </xf>
    <xf numFmtId="3" fontId="110" fillId="0" borderId="54" xfId="21" applyNumberFormat="1" applyFont="1" applyFill="1" applyBorder="1" applyAlignment="1" applyProtection="1">
      <alignment horizontal="right"/>
      <protection/>
    </xf>
    <xf numFmtId="3" fontId="71" fillId="0" borderId="54" xfId="21" applyNumberFormat="1" applyFont="1" applyFill="1" applyBorder="1" applyAlignment="1" applyProtection="1">
      <alignment horizontal="right"/>
      <protection/>
    </xf>
    <xf numFmtId="0" fontId="111" fillId="0" borderId="65" xfId="21" applyFont="1" applyBorder="1" applyAlignment="1">
      <alignment horizontal="right"/>
      <protection/>
    </xf>
    <xf numFmtId="0" fontId="112" fillId="0" borderId="24" xfId="21" applyFont="1" applyFill="1" applyBorder="1" applyAlignment="1">
      <alignment horizontal="left" indent="2"/>
      <protection/>
    </xf>
    <xf numFmtId="3" fontId="111" fillId="5" borderId="14" xfId="21" applyNumberFormat="1" applyFont="1" applyFill="1" applyBorder="1" applyAlignment="1" applyProtection="1">
      <alignment horizontal="right"/>
      <protection locked="0"/>
    </xf>
    <xf numFmtId="3" fontId="111" fillId="0" borderId="14" xfId="21" applyNumberFormat="1" applyFont="1" applyFill="1" applyBorder="1" applyAlignment="1" applyProtection="1">
      <alignment horizontal="center"/>
      <protection/>
    </xf>
    <xf numFmtId="0" fontId="111" fillId="0" borderId="24" xfId="21" applyFont="1" applyFill="1" applyBorder="1" applyAlignment="1">
      <alignment horizontal="left" indent="2"/>
      <protection/>
    </xf>
    <xf numFmtId="3" fontId="111" fillId="0" borderId="14" xfId="21" applyNumberFormat="1" applyFont="1" applyFill="1" applyBorder="1" applyAlignment="1" applyProtection="1">
      <alignment horizontal="center"/>
      <protection locked="0"/>
    </xf>
    <xf numFmtId="3" fontId="111" fillId="0" borderId="14" xfId="21" applyNumberFormat="1" applyFont="1" applyFill="1" applyBorder="1" applyAlignment="1" applyProtection="1">
      <alignment horizontal="right"/>
      <protection locked="0"/>
    </xf>
    <xf numFmtId="3" fontId="111" fillId="0" borderId="54" xfId="21" applyNumberFormat="1" applyFont="1" applyFill="1" applyBorder="1" applyAlignment="1" applyProtection="1">
      <alignment horizontal="right"/>
      <protection locked="0"/>
    </xf>
    <xf numFmtId="3" fontId="111" fillId="0" borderId="87" xfId="21" applyNumberFormat="1" applyFont="1" applyBorder="1" applyAlignment="1" applyProtection="1">
      <alignment horizontal="right"/>
      <protection locked="0"/>
    </xf>
    <xf numFmtId="0" fontId="111" fillId="0" borderId="0" xfId="21" applyFont="1">
      <alignment/>
      <protection/>
    </xf>
    <xf numFmtId="3" fontId="111" fillId="0" borderId="66" xfId="21" applyNumberFormat="1" applyFont="1" applyFill="1" applyBorder="1" applyAlignment="1" applyProtection="1">
      <alignment horizontal="center"/>
      <protection locked="0"/>
    </xf>
    <xf numFmtId="3" fontId="111" fillId="0" borderId="66" xfId="21" applyNumberFormat="1" applyFont="1" applyFill="1" applyBorder="1" applyAlignment="1" applyProtection="1">
      <alignment horizontal="right"/>
      <protection locked="0"/>
    </xf>
    <xf numFmtId="10" fontId="71" fillId="0" borderId="65" xfId="21" applyNumberFormat="1" applyFont="1" applyFill="1" applyBorder="1" applyAlignment="1" applyProtection="1">
      <alignment horizontal="right"/>
      <protection/>
    </xf>
    <xf numFmtId="0" fontId="71" fillId="0" borderId="65" xfId="21" applyFont="1" applyFill="1" applyBorder="1">
      <alignment/>
      <protection/>
    </xf>
    <xf numFmtId="10" fontId="111" fillId="0" borderId="65" xfId="21" applyNumberFormat="1" applyFont="1" applyFill="1" applyBorder="1" applyAlignment="1" applyProtection="1">
      <alignment horizontal="right"/>
      <protection/>
    </xf>
    <xf numFmtId="3" fontId="71" fillId="0" borderId="87" xfId="21" applyNumberFormat="1" applyFont="1" applyFill="1" applyBorder="1" applyAlignment="1" applyProtection="1">
      <alignment horizontal="right"/>
      <protection/>
    </xf>
    <xf numFmtId="0" fontId="71" fillId="0" borderId="0" xfId="21" applyFont="1" applyFill="1">
      <alignment/>
      <protection/>
    </xf>
    <xf numFmtId="3" fontId="109" fillId="0" borderId="65" xfId="21" applyNumberFormat="1" applyFont="1" applyFill="1" applyBorder="1" applyAlignment="1" applyProtection="1">
      <alignment horizontal="center"/>
      <protection locked="0"/>
    </xf>
    <xf numFmtId="10" fontId="107" fillId="0" borderId="65" xfId="21" applyNumberFormat="1" applyFont="1" applyFill="1" applyBorder="1" applyAlignment="1">
      <alignment horizontal="right"/>
      <protection/>
    </xf>
    <xf numFmtId="3" fontId="71" fillId="0" borderId="87" xfId="21" applyNumberFormat="1" applyFont="1" applyBorder="1" applyAlignment="1">
      <alignment horizontal="right"/>
      <protection/>
    </xf>
    <xf numFmtId="0" fontId="71" fillId="0" borderId="76" xfId="21" applyFont="1" applyBorder="1">
      <alignment/>
      <protection/>
    </xf>
    <xf numFmtId="0" fontId="76" fillId="0" borderId="3" xfId="21" applyFont="1" applyBorder="1" applyAlignment="1">
      <alignment horizontal="left"/>
      <protection/>
    </xf>
    <xf numFmtId="3" fontId="55" fillId="0" borderId="20" xfId="21" applyNumberFormat="1" applyFont="1" applyFill="1" applyBorder="1" applyAlignment="1" applyProtection="1">
      <alignment horizontal="center"/>
      <protection/>
    </xf>
    <xf numFmtId="3" fontId="71" fillId="0" borderId="20" xfId="21" applyNumberFormat="1" applyFont="1" applyBorder="1" applyAlignment="1">
      <alignment horizontal="right"/>
      <protection/>
    </xf>
    <xf numFmtId="3" fontId="71" fillId="0" borderId="20" xfId="21" applyNumberFormat="1" applyFont="1" applyFill="1" applyBorder="1" applyAlignment="1" applyProtection="1">
      <alignment horizontal="center"/>
      <protection/>
    </xf>
    <xf numFmtId="3" fontId="71" fillId="0" borderId="49" xfId="21" applyNumberFormat="1" applyFont="1" applyFill="1" applyBorder="1" applyAlignment="1" applyProtection="1">
      <alignment horizontal="center"/>
      <protection/>
    </xf>
    <xf numFmtId="0" fontId="71" fillId="0" borderId="3" xfId="21" applyFont="1" applyBorder="1" applyAlignment="1">
      <alignment horizontal="left"/>
      <protection/>
    </xf>
    <xf numFmtId="3" fontId="71" fillId="0" borderId="76" xfId="21" applyNumberFormat="1" applyFont="1" applyFill="1" applyBorder="1" applyAlignment="1">
      <alignment horizontal="right"/>
      <protection/>
    </xf>
    <xf numFmtId="10" fontId="107" fillId="0" borderId="76" xfId="21" applyNumberFormat="1" applyFont="1" applyFill="1" applyBorder="1" applyAlignment="1">
      <alignment horizontal="right"/>
      <protection/>
    </xf>
    <xf numFmtId="3" fontId="71" fillId="0" borderId="49" xfId="21" applyNumberFormat="1" applyFont="1" applyBorder="1" applyAlignment="1" applyProtection="1">
      <alignment horizontal="right"/>
      <protection locked="0"/>
    </xf>
    <xf numFmtId="3" fontId="71" fillId="0" borderId="4" xfId="21" applyNumberFormat="1" applyFont="1" applyBorder="1" applyAlignment="1">
      <alignment horizontal="right"/>
      <protection/>
    </xf>
    <xf numFmtId="0" fontId="53" fillId="0" borderId="0" xfId="21" applyFont="1">
      <alignment/>
      <protection/>
    </xf>
    <xf numFmtId="0" fontId="54" fillId="0" borderId="0" xfId="21" applyFont="1">
      <alignment/>
      <protection/>
    </xf>
    <xf numFmtId="0" fontId="91" fillId="0" borderId="0" xfId="21" applyFont="1">
      <alignment/>
      <protection/>
    </xf>
    <xf numFmtId="0" fontId="54" fillId="0" borderId="0" xfId="21" applyFont="1" applyFill="1" applyBorder="1" applyAlignment="1">
      <alignment horizontal="center" vertical="top" wrapText="1"/>
      <protection/>
    </xf>
    <xf numFmtId="0" fontId="54" fillId="0" borderId="0" xfId="21" applyFont="1" applyFill="1" applyBorder="1" applyAlignment="1">
      <alignment horizontal="center" vertical="center" wrapText="1"/>
      <protection/>
    </xf>
    <xf numFmtId="3" fontId="71" fillId="0" borderId="54" xfId="21" applyNumberFormat="1" applyFont="1" applyFill="1" applyBorder="1" applyAlignment="1" applyProtection="1">
      <alignment horizontal="right" readingOrder="1"/>
      <protection locked="0"/>
    </xf>
    <xf numFmtId="0" fontId="76" fillId="0" borderId="0" xfId="0" applyFont="1" applyAlignment="1">
      <alignment/>
    </xf>
    <xf numFmtId="0" fontId="102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right"/>
    </xf>
    <xf numFmtId="0" fontId="104" fillId="0" borderId="0" xfId="0" applyFont="1" applyAlignment="1">
      <alignment horizontal="left" vertical="top" wrapText="1"/>
    </xf>
    <xf numFmtId="0" fontId="105" fillId="0" borderId="0" xfId="0" applyFont="1" applyAlignment="1">
      <alignment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wrapText="1"/>
    </xf>
    <xf numFmtId="0" fontId="55" fillId="0" borderId="0" xfId="0" applyFont="1" applyFill="1" applyAlignment="1">
      <alignment horizontal="right"/>
    </xf>
    <xf numFmtId="0" fontId="52" fillId="0" borderId="0" xfId="25" applyFont="1" applyBorder="1">
      <alignment/>
      <protection/>
    </xf>
    <xf numFmtId="0" fontId="54" fillId="0" borderId="77" xfId="0" applyFont="1" applyFill="1" applyBorder="1" applyAlignment="1">
      <alignment horizontal="center"/>
    </xf>
    <xf numFmtId="0" fontId="49" fillId="0" borderId="77" xfId="25" applyFont="1" applyFill="1" applyBorder="1" applyAlignment="1">
      <alignment horizontal="center"/>
      <protection/>
    </xf>
    <xf numFmtId="0" fontId="49" fillId="0" borderId="43" xfId="25" applyFont="1" applyFill="1" applyBorder="1" applyAlignment="1">
      <alignment horizontal="center"/>
      <protection/>
    </xf>
    <xf numFmtId="49" fontId="49" fillId="0" borderId="77" xfId="0" applyNumberFormat="1" applyFont="1" applyFill="1" applyBorder="1" applyAlignment="1">
      <alignment horizontal="center" vertical="center"/>
    </xf>
    <xf numFmtId="0" fontId="49" fillId="0" borderId="0" xfId="25" applyFont="1" applyBorder="1">
      <alignment/>
      <protection/>
    </xf>
    <xf numFmtId="0" fontId="55" fillId="0" borderId="45" xfId="0" applyFont="1" applyFill="1" applyBorder="1" applyAlignment="1">
      <alignment horizontal="left"/>
    </xf>
    <xf numFmtId="3" fontId="55" fillId="0" borderId="16" xfId="0" applyNumberFormat="1" applyFont="1" applyFill="1" applyBorder="1" applyAlignment="1">
      <alignment horizontal="right"/>
    </xf>
    <xf numFmtId="3" fontId="55" fillId="0" borderId="41" xfId="0" applyNumberFormat="1" applyFont="1" applyFill="1" applyBorder="1" applyAlignment="1">
      <alignment horizontal="right"/>
    </xf>
    <xf numFmtId="10" fontId="55" fillId="0" borderId="1" xfId="0" applyNumberFormat="1" applyFont="1" applyFill="1" applyBorder="1" applyAlignment="1">
      <alignment horizontal="right"/>
    </xf>
    <xf numFmtId="3" fontId="55" fillId="0" borderId="2" xfId="0" applyNumberFormat="1" applyFont="1" applyFill="1" applyBorder="1" applyAlignment="1">
      <alignment horizontal="right"/>
    </xf>
    <xf numFmtId="0" fontId="71" fillId="0" borderId="54" xfId="0" applyFont="1" applyFill="1" applyBorder="1" applyAlignment="1">
      <alignment horizontal="left"/>
    </xf>
    <xf numFmtId="3" fontId="52" fillId="0" borderId="87" xfId="0" applyNumberFormat="1" applyFont="1" applyFill="1" applyBorder="1" applyAlignment="1">
      <alignment horizontal="right"/>
    </xf>
    <xf numFmtId="3" fontId="52" fillId="0" borderId="54" xfId="0" applyNumberFormat="1" applyFont="1" applyFill="1" applyBorder="1" applyAlignment="1">
      <alignment horizontal="right"/>
    </xf>
    <xf numFmtId="4" fontId="52" fillId="0" borderId="24" xfId="0" applyNumberFormat="1" applyFont="1" applyFill="1" applyBorder="1" applyAlignment="1">
      <alignment horizontal="right"/>
    </xf>
    <xf numFmtId="3" fontId="52" fillId="0" borderId="24" xfId="0" applyNumberFormat="1" applyFont="1" applyFill="1" applyBorder="1" applyAlignment="1">
      <alignment horizontal="right"/>
    </xf>
    <xf numFmtId="10" fontId="52" fillId="0" borderId="24" xfId="0" applyNumberFormat="1" applyFont="1" applyFill="1" applyBorder="1" applyAlignment="1">
      <alignment horizontal="right"/>
    </xf>
    <xf numFmtId="0" fontId="55" fillId="0" borderId="7" xfId="0" applyFont="1" applyFill="1" applyBorder="1" applyAlignment="1">
      <alignment horizontal="left" wrapText="1"/>
    </xf>
    <xf numFmtId="3" fontId="55" fillId="0" borderId="41" xfId="0" applyNumberFormat="1" applyFont="1" applyFill="1" applyBorder="1" applyAlignment="1">
      <alignment horizontal="center"/>
    </xf>
    <xf numFmtId="3" fontId="55" fillId="0" borderId="1" xfId="0" applyNumberFormat="1" applyFont="1" applyFill="1" applyBorder="1" applyAlignment="1">
      <alignment horizontal="center"/>
    </xf>
    <xf numFmtId="3" fontId="55" fillId="0" borderId="2" xfId="0" applyNumberFormat="1" applyFont="1" applyFill="1" applyBorder="1" applyAlignment="1">
      <alignment horizontal="center"/>
    </xf>
    <xf numFmtId="0" fontId="71" fillId="0" borderId="20" xfId="0" applyFont="1" applyFill="1" applyBorder="1" applyAlignment="1">
      <alignment horizontal="left"/>
    </xf>
    <xf numFmtId="3" fontId="52" fillId="0" borderId="49" xfId="0" applyNumberFormat="1" applyFont="1" applyFill="1" applyBorder="1" applyAlignment="1">
      <alignment horizontal="right"/>
    </xf>
    <xf numFmtId="4" fontId="52" fillId="0" borderId="3" xfId="0" applyNumberFormat="1" applyFont="1" applyFill="1" applyBorder="1" applyAlignment="1">
      <alignment horizontal="right"/>
    </xf>
    <xf numFmtId="3" fontId="52" fillId="0" borderId="49" xfId="0" applyNumberFormat="1" applyFont="1" applyFill="1" applyBorder="1" applyAlignment="1">
      <alignment/>
    </xf>
    <xf numFmtId="3" fontId="52" fillId="0" borderId="3" xfId="0" applyNumberFormat="1" applyFont="1" applyFill="1" applyBorder="1" applyAlignment="1">
      <alignment horizontal="right"/>
    </xf>
    <xf numFmtId="3" fontId="52" fillId="0" borderId="4" xfId="0" applyNumberFormat="1" applyFont="1" applyFill="1" applyBorder="1" applyAlignment="1">
      <alignment horizontal="right"/>
    </xf>
    <xf numFmtId="3" fontId="52" fillId="0" borderId="14" xfId="0" applyNumberFormat="1" applyFont="1" applyFill="1" applyBorder="1" applyAlignment="1">
      <alignment horizontal="right"/>
    </xf>
    <xf numFmtId="4" fontId="52" fillId="0" borderId="41" xfId="0" applyNumberFormat="1" applyFont="1" applyFill="1" applyBorder="1" applyAlignment="1">
      <alignment horizontal="right"/>
    </xf>
    <xf numFmtId="3" fontId="52" fillId="0" borderId="87" xfId="0" applyNumberFormat="1" applyFont="1" applyFill="1" applyBorder="1" applyAlignment="1">
      <alignment horizontal="center"/>
    </xf>
    <xf numFmtId="3" fontId="52" fillId="0" borderId="24" xfId="0" applyNumberFormat="1" applyFont="1" applyFill="1" applyBorder="1" applyAlignment="1">
      <alignment horizontal="center"/>
    </xf>
    <xf numFmtId="3" fontId="52" fillId="0" borderId="54" xfId="0" applyNumberFormat="1" applyFont="1" applyFill="1" applyBorder="1" applyAlignment="1">
      <alignment horizontal="center"/>
    </xf>
    <xf numFmtId="10" fontId="52" fillId="0" borderId="65" xfId="0" applyNumberFormat="1" applyFont="1" applyFill="1" applyBorder="1" applyAlignment="1">
      <alignment horizontal="right"/>
    </xf>
    <xf numFmtId="3" fontId="52" fillId="0" borderId="16" xfId="0" applyNumberFormat="1" applyFont="1" applyFill="1" applyBorder="1" applyAlignment="1">
      <alignment horizontal="right"/>
    </xf>
    <xf numFmtId="3" fontId="52" fillId="0" borderId="20" xfId="0" applyNumberFormat="1" applyFont="1" applyFill="1" applyBorder="1" applyAlignment="1">
      <alignment horizontal="right"/>
    </xf>
    <xf numFmtId="10" fontId="52" fillId="0" borderId="49" xfId="0" applyNumberFormat="1" applyFont="1" applyFill="1" applyBorder="1" applyAlignment="1">
      <alignment horizontal="right"/>
    </xf>
    <xf numFmtId="3" fontId="52" fillId="0" borderId="4" xfId="0" applyNumberFormat="1" applyFont="1" applyFill="1" applyBorder="1" applyAlignment="1">
      <alignment horizontal="center"/>
    </xf>
    <xf numFmtId="3" fontId="52" fillId="0" borderId="3" xfId="0" applyNumberFormat="1" applyFont="1" applyFill="1" applyBorder="1" applyAlignment="1">
      <alignment horizontal="center"/>
    </xf>
    <xf numFmtId="3" fontId="52" fillId="0" borderId="49" xfId="0" applyNumberFormat="1" applyFont="1" applyFill="1" applyBorder="1" applyAlignment="1">
      <alignment horizontal="center"/>
    </xf>
    <xf numFmtId="0" fontId="75" fillId="0" borderId="77" xfId="0" applyFont="1" applyFill="1" applyBorder="1" applyAlignment="1">
      <alignment horizontal="left"/>
    </xf>
    <xf numFmtId="3" fontId="55" fillId="0" borderId="44" xfId="0" applyNumberFormat="1" applyFont="1" applyFill="1" applyBorder="1" applyAlignment="1">
      <alignment horizontal="right"/>
    </xf>
    <xf numFmtId="3" fontId="55" fillId="0" borderId="77" xfId="0" applyNumberFormat="1" applyFont="1" applyFill="1" applyBorder="1" applyAlignment="1">
      <alignment horizontal="right"/>
    </xf>
    <xf numFmtId="10" fontId="55" fillId="0" borderId="49" xfId="0" applyNumberFormat="1" applyFont="1" applyFill="1" applyBorder="1" applyAlignment="1">
      <alignment horizontal="right"/>
    </xf>
    <xf numFmtId="49" fontId="71" fillId="0" borderId="0" xfId="0" applyNumberFormat="1" applyFont="1" applyBorder="1" applyAlignment="1">
      <alignment horizontal="right" vertical="top" textRotation="180" wrapText="1"/>
    </xf>
    <xf numFmtId="0" fontId="67" fillId="0" borderId="0" xfId="0" applyFont="1" applyFill="1" applyAlignment="1">
      <alignment/>
    </xf>
    <xf numFmtId="0" fontId="56" fillId="0" borderId="41" xfId="32" applyNumberFormat="1" applyFont="1" applyFill="1" applyBorder="1" applyAlignment="1" applyProtection="1">
      <alignment horizontal="center" vertical="top" wrapText="1"/>
      <protection locked="0"/>
    </xf>
    <xf numFmtId="0" fontId="55" fillId="5" borderId="77" xfId="21" applyFont="1" applyFill="1" applyBorder="1" applyAlignment="1">
      <alignment horizontal="center" vertical="center" wrapText="1"/>
      <protection/>
    </xf>
    <xf numFmtId="0" fontId="104" fillId="0" borderId="0" xfId="21" applyFont="1">
      <alignment/>
      <protection/>
    </xf>
    <xf numFmtId="0" fontId="104" fillId="0" borderId="0" xfId="31" applyFont="1" applyFill="1" applyBorder="1">
      <alignment/>
      <protection/>
    </xf>
    <xf numFmtId="0" fontId="104" fillId="0" borderId="0" xfId="21" applyFont="1" applyAlignment="1">
      <alignment horizontal="right"/>
      <protection/>
    </xf>
    <xf numFmtId="0" fontId="89" fillId="0" borderId="0" xfId="21" applyFont="1">
      <alignment/>
      <protection/>
    </xf>
    <xf numFmtId="3" fontId="75" fillId="0" borderId="77" xfId="21" applyNumberFormat="1" applyFont="1" applyFill="1" applyBorder="1" applyAlignment="1" applyProtection="1">
      <alignment horizontal="right"/>
      <protection locked="0"/>
    </xf>
    <xf numFmtId="3" fontId="75" fillId="0" borderId="14" xfId="21" applyNumberFormat="1" applyFont="1" applyFill="1" applyBorder="1" applyAlignment="1" applyProtection="1">
      <alignment horizontal="center"/>
      <protection/>
    </xf>
    <xf numFmtId="3" fontId="75" fillId="0" borderId="14" xfId="21" applyNumberFormat="1" applyFont="1" applyFill="1" applyBorder="1" applyAlignment="1" applyProtection="1">
      <alignment horizontal="right"/>
      <protection/>
    </xf>
    <xf numFmtId="3" fontId="75" fillId="0" borderId="65" xfId="21" applyNumberFormat="1" applyFont="1" applyFill="1" applyBorder="1" applyAlignment="1" applyProtection="1">
      <alignment horizontal="right"/>
      <protection/>
    </xf>
    <xf numFmtId="3" fontId="115" fillId="0" borderId="14" xfId="21" applyNumberFormat="1" applyFont="1" applyFill="1" applyBorder="1" applyAlignment="1" applyProtection="1">
      <alignment horizontal="center"/>
      <protection/>
    </xf>
    <xf numFmtId="3" fontId="116" fillId="3" borderId="77" xfId="21" applyNumberFormat="1" applyFont="1" applyFill="1" applyBorder="1" applyAlignment="1">
      <alignment horizontal="right"/>
      <protection/>
    </xf>
    <xf numFmtId="3" fontId="75" fillId="0" borderId="14" xfId="21" applyNumberFormat="1" applyFont="1" applyBorder="1" applyAlignment="1">
      <alignment horizontal="right"/>
      <protection/>
    </xf>
    <xf numFmtId="3" fontId="75" fillId="5" borderId="14" xfId="21" applyNumberFormat="1" applyFont="1" applyFill="1" applyBorder="1" applyAlignment="1" applyProtection="1">
      <alignment horizontal="right"/>
      <protection locked="0"/>
    </xf>
    <xf numFmtId="3" fontId="116" fillId="3" borderId="65" xfId="21" applyNumberFormat="1" applyFont="1" applyFill="1" applyBorder="1" applyAlignment="1">
      <alignment horizontal="right"/>
      <protection/>
    </xf>
    <xf numFmtId="3" fontId="75" fillId="0" borderId="14" xfId="21" applyNumberFormat="1" applyFont="1" applyFill="1" applyBorder="1" applyAlignment="1">
      <alignment horizontal="right"/>
      <protection/>
    </xf>
    <xf numFmtId="3" fontId="115" fillId="5" borderId="14" xfId="21" applyNumberFormat="1" applyFont="1" applyFill="1" applyBorder="1" applyAlignment="1" applyProtection="1">
      <alignment horizontal="right"/>
      <protection locked="0"/>
    </xf>
    <xf numFmtId="3" fontId="117" fillId="0" borderId="0" xfId="30" applyNumberFormat="1" applyFont="1" applyFill="1">
      <alignment/>
      <protection/>
    </xf>
    <xf numFmtId="0" fontId="117" fillId="0" borderId="0" xfId="0" applyFont="1" applyAlignment="1">
      <alignment/>
    </xf>
    <xf numFmtId="0" fontId="117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horizontal="right"/>
    </xf>
    <xf numFmtId="0" fontId="44" fillId="0" borderId="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65" fillId="0" borderId="114" xfId="0" applyFont="1" applyBorder="1" applyAlignment="1">
      <alignment horizontal="centerContinuous" vertical="center"/>
    </xf>
    <xf numFmtId="0" fontId="65" fillId="0" borderId="115" xfId="0" applyFont="1" applyBorder="1" applyAlignment="1">
      <alignment horizontal="centerContinuous" vertical="center"/>
    </xf>
    <xf numFmtId="0" fontId="65" fillId="0" borderId="116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65" fillId="0" borderId="74" xfId="0" applyFont="1" applyBorder="1" applyAlignment="1">
      <alignment horizontal="center" vertical="center"/>
    </xf>
    <xf numFmtId="0" fontId="65" fillId="0" borderId="69" xfId="0" applyFont="1" applyBorder="1" applyAlignment="1">
      <alignment horizontal="center" vertical="center"/>
    </xf>
    <xf numFmtId="0" fontId="65" fillId="0" borderId="75" xfId="0" applyFont="1" applyBorder="1" applyAlignment="1">
      <alignment horizontal="center" vertical="center"/>
    </xf>
    <xf numFmtId="0" fontId="65" fillId="0" borderId="71" xfId="0" applyFont="1" applyBorder="1" applyAlignment="1">
      <alignment horizontal="center" vertical="center"/>
    </xf>
    <xf numFmtId="0" fontId="65" fillId="0" borderId="73" xfId="0" applyFont="1" applyBorder="1" applyAlignment="1">
      <alignment horizontal="center" vertical="center"/>
    </xf>
    <xf numFmtId="0" fontId="65" fillId="0" borderId="70" xfId="0" applyFont="1" applyBorder="1" applyAlignment="1">
      <alignment horizontal="center" vertical="center"/>
    </xf>
    <xf numFmtId="0" fontId="65" fillId="0" borderId="117" xfId="0" applyFont="1" applyBorder="1" applyAlignment="1">
      <alignment vertical="center"/>
    </xf>
    <xf numFmtId="0" fontId="44" fillId="0" borderId="118" xfId="0" applyFont="1" applyBorder="1" applyAlignment="1">
      <alignment horizontal="left"/>
    </xf>
    <xf numFmtId="0" fontId="0" fillId="0" borderId="52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9" xfId="0" applyBorder="1" applyAlignment="1">
      <alignment horizontal="center"/>
    </xf>
    <xf numFmtId="0" fontId="0" fillId="0" borderId="120" xfId="0" applyBorder="1" applyAlignment="1">
      <alignment/>
    </xf>
    <xf numFmtId="3" fontId="0" fillId="0" borderId="63" xfId="0" applyNumberFormat="1" applyBorder="1" applyAlignment="1">
      <alignment/>
    </xf>
    <xf numFmtId="3" fontId="0" fillId="5" borderId="58" xfId="0" applyNumberFormat="1" applyFill="1" applyBorder="1" applyAlignment="1">
      <alignment/>
    </xf>
    <xf numFmtId="3" fontId="0" fillId="5" borderId="64" xfId="0" applyNumberFormat="1" applyFill="1" applyBorder="1" applyAlignment="1">
      <alignment/>
    </xf>
    <xf numFmtId="3" fontId="0" fillId="0" borderId="60" xfId="0" applyNumberFormat="1" applyBorder="1" applyAlignment="1">
      <alignment/>
    </xf>
    <xf numFmtId="3" fontId="0" fillId="5" borderId="102" xfId="0" applyNumberFormat="1" applyFill="1" applyBorder="1" applyAlignment="1">
      <alignment/>
    </xf>
    <xf numFmtId="3" fontId="0" fillId="5" borderId="59" xfId="0" applyNumberFormat="1" applyFill="1" applyBorder="1" applyAlignment="1">
      <alignment/>
    </xf>
    <xf numFmtId="3" fontId="0" fillId="0" borderId="58" xfId="0" applyNumberFormat="1" applyBorder="1" applyAlignment="1">
      <alignment/>
    </xf>
    <xf numFmtId="4" fontId="0" fillId="0" borderId="121" xfId="0" applyNumberFormat="1" applyBorder="1" applyAlignment="1">
      <alignment/>
    </xf>
    <xf numFmtId="0" fontId="0" fillId="0" borderId="122" xfId="0" applyBorder="1" applyAlignment="1">
      <alignment/>
    </xf>
    <xf numFmtId="3" fontId="0" fillId="0" borderId="107" xfId="0" applyNumberFormat="1" applyBorder="1" applyAlignment="1">
      <alignment/>
    </xf>
    <xf numFmtId="3" fontId="0" fillId="5" borderId="67" xfId="0" applyNumberFormat="1" applyFill="1" applyBorder="1" applyAlignment="1">
      <alignment/>
    </xf>
    <xf numFmtId="3" fontId="0" fillId="5" borderId="103" xfId="0" applyNumberFormat="1" applyFill="1" applyBorder="1" applyAlignment="1">
      <alignment/>
    </xf>
    <xf numFmtId="3" fontId="0" fillId="0" borderId="123" xfId="0" applyNumberFormat="1" applyBorder="1" applyAlignment="1">
      <alignment/>
    </xf>
    <xf numFmtId="3" fontId="0" fillId="5" borderId="69" xfId="0" applyNumberFormat="1" applyFill="1" applyBorder="1" applyAlignment="1">
      <alignment/>
    </xf>
    <xf numFmtId="3" fontId="0" fillId="5" borderId="86" xfId="0" applyNumberFormat="1" applyFill="1" applyBorder="1" applyAlignment="1">
      <alignment/>
    </xf>
    <xf numFmtId="3" fontId="0" fillId="0" borderId="67" xfId="0" applyNumberFormat="1" applyBorder="1" applyAlignment="1">
      <alignment/>
    </xf>
    <xf numFmtId="4" fontId="0" fillId="0" borderId="124" xfId="0" applyNumberFormat="1" applyBorder="1" applyAlignment="1">
      <alignment/>
    </xf>
    <xf numFmtId="0" fontId="0" fillId="0" borderId="125" xfId="0" applyBorder="1" applyAlignment="1">
      <alignment/>
    </xf>
    <xf numFmtId="3" fontId="0" fillId="0" borderId="106" xfId="0" applyNumberFormat="1" applyBorder="1" applyAlignment="1">
      <alignment/>
    </xf>
    <xf numFmtId="3" fontId="0" fillId="5" borderId="92" xfId="0" applyNumberFormat="1" applyFill="1" applyBorder="1" applyAlignment="1">
      <alignment/>
    </xf>
    <xf numFmtId="3" fontId="0" fillId="5" borderId="101" xfId="0" applyNumberFormat="1" applyFill="1" applyBorder="1" applyAlignment="1">
      <alignment/>
    </xf>
    <xf numFmtId="3" fontId="0" fillId="0" borderId="15" xfId="0" applyNumberFormat="1" applyBorder="1" applyAlignment="1">
      <alignment/>
    </xf>
    <xf numFmtId="3" fontId="0" fillId="5" borderId="100" xfId="0" applyNumberFormat="1" applyFill="1" applyBorder="1" applyAlignment="1">
      <alignment/>
    </xf>
    <xf numFmtId="3" fontId="0" fillId="0" borderId="92" xfId="0" applyNumberFormat="1" applyBorder="1" applyAlignment="1">
      <alignment/>
    </xf>
    <xf numFmtId="4" fontId="0" fillId="0" borderId="126" xfId="0" applyNumberFormat="1" applyBorder="1" applyAlignment="1">
      <alignment/>
    </xf>
    <xf numFmtId="3" fontId="0" fillId="5" borderId="62" xfId="0" applyNumberFormat="1" applyFill="1" applyBorder="1" applyAlignment="1">
      <alignment/>
    </xf>
    <xf numFmtId="4" fontId="0" fillId="0" borderId="127" xfId="0" applyNumberFormat="1" applyBorder="1" applyAlignment="1">
      <alignment/>
    </xf>
    <xf numFmtId="4" fontId="0" fillId="0" borderId="128" xfId="0" applyNumberFormat="1" applyBorder="1" applyAlignment="1">
      <alignment/>
    </xf>
    <xf numFmtId="0" fontId="0" fillId="0" borderId="129" xfId="0" applyBorder="1" applyAlignment="1">
      <alignment/>
    </xf>
    <xf numFmtId="3" fontId="0" fillId="0" borderId="89" xfId="0" applyNumberFormat="1" applyBorder="1" applyAlignment="1">
      <alignment/>
    </xf>
    <xf numFmtId="3" fontId="0" fillId="5" borderId="90" xfId="0" applyNumberFormat="1" applyFill="1" applyBorder="1" applyAlignment="1">
      <alignment/>
    </xf>
    <xf numFmtId="3" fontId="0" fillId="5" borderId="96" xfId="0" applyNumberFormat="1" applyFill="1" applyBorder="1" applyAlignment="1">
      <alignment/>
    </xf>
    <xf numFmtId="3" fontId="0" fillId="0" borderId="95" xfId="0" applyNumberFormat="1" applyBorder="1" applyAlignment="1">
      <alignment/>
    </xf>
    <xf numFmtId="3" fontId="0" fillId="5" borderId="91" xfId="0" applyNumberFormat="1" applyFill="1" applyBorder="1" applyAlignment="1">
      <alignment/>
    </xf>
    <xf numFmtId="3" fontId="0" fillId="5" borderId="83" xfId="0" applyNumberFormat="1" applyFill="1" applyBorder="1" applyAlignment="1">
      <alignment/>
    </xf>
    <xf numFmtId="3" fontId="0" fillId="0" borderId="90" xfId="0" applyNumberFormat="1" applyBorder="1" applyAlignment="1">
      <alignment/>
    </xf>
    <xf numFmtId="4" fontId="0" fillId="0" borderId="130" xfId="0" applyNumberFormat="1" applyBorder="1" applyAlignment="1">
      <alignment/>
    </xf>
    <xf numFmtId="3" fontId="64" fillId="0" borderId="131" xfId="0" applyNumberFormat="1" applyFont="1" applyBorder="1" applyAlignment="1">
      <alignment/>
    </xf>
    <xf numFmtId="3" fontId="64" fillId="0" borderId="132" xfId="0" applyNumberFormat="1" applyFont="1" applyBorder="1" applyAlignment="1">
      <alignment/>
    </xf>
    <xf numFmtId="3" fontId="44" fillId="5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0" fontId="113" fillId="0" borderId="0" xfId="0" applyFont="1" applyAlignment="1">
      <alignment/>
    </xf>
    <xf numFmtId="0" fontId="0" fillId="0" borderId="0" xfId="0" applyAlignment="1">
      <alignment horizontal="right"/>
    </xf>
    <xf numFmtId="0" fontId="64" fillId="0" borderId="133" xfId="0" applyFont="1" applyBorder="1" applyAlignment="1">
      <alignment horizontal="left" indent="1"/>
    </xf>
    <xf numFmtId="0" fontId="64" fillId="0" borderId="134" xfId="0" applyFont="1" applyBorder="1" applyAlignment="1">
      <alignment horizontal="center"/>
    </xf>
    <xf numFmtId="0" fontId="64" fillId="0" borderId="107" xfId="0" applyFont="1" applyBorder="1" applyAlignment="1">
      <alignment horizontal="center"/>
    </xf>
    <xf numFmtId="0" fontId="64" fillId="0" borderId="46" xfId="0" applyFont="1" applyBorder="1" applyAlignment="1">
      <alignment horizontal="center"/>
    </xf>
    <xf numFmtId="0" fontId="64" fillId="0" borderId="67" xfId="0" applyFont="1" applyBorder="1" applyAlignment="1">
      <alignment horizontal="center"/>
    </xf>
    <xf numFmtId="0" fontId="64" fillId="0" borderId="103" xfId="0" applyFont="1" applyBorder="1" applyAlignment="1">
      <alignment horizontal="center"/>
    </xf>
    <xf numFmtId="0" fontId="64" fillId="0" borderId="55" xfId="0" applyFont="1" applyBorder="1" applyAlignment="1">
      <alignment horizontal="center"/>
    </xf>
    <xf numFmtId="0" fontId="64" fillId="0" borderId="56" xfId="0" applyFont="1" applyBorder="1" applyAlignment="1">
      <alignment horizontal="center"/>
    </xf>
    <xf numFmtId="0" fontId="64" fillId="0" borderId="48" xfId="0" applyFont="1" applyBorder="1" applyAlignment="1">
      <alignment horizontal="center"/>
    </xf>
    <xf numFmtId="0" fontId="44" fillId="0" borderId="118" xfId="0" applyFont="1" applyBorder="1" applyAlignment="1">
      <alignment horizontal="left" indent="1"/>
    </xf>
    <xf numFmtId="0" fontId="44" fillId="0" borderId="3" xfId="0" applyFont="1" applyBorder="1" applyAlignment="1">
      <alignment horizontal="left"/>
    </xf>
    <xf numFmtId="0" fontId="73" fillId="0" borderId="135" xfId="0" applyFont="1" applyBorder="1" applyAlignment="1">
      <alignment horizontal="left" indent="1"/>
    </xf>
    <xf numFmtId="3" fontId="0" fillId="0" borderId="61" xfId="0" applyNumberFormat="1" applyBorder="1" applyAlignment="1">
      <alignment/>
    </xf>
    <xf numFmtId="3" fontId="0" fillId="0" borderId="58" xfId="0" applyNumberFormat="1" applyFont="1" applyBorder="1" applyAlignment="1">
      <alignment/>
    </xf>
    <xf numFmtId="0" fontId="73" fillId="0" borderId="136" xfId="0" applyFont="1" applyBorder="1" applyAlignment="1">
      <alignment horizontal="left" indent="1"/>
    </xf>
    <xf numFmtId="3" fontId="0" fillId="0" borderId="105" xfId="0" applyNumberFormat="1" applyBorder="1" applyAlignment="1">
      <alignment/>
    </xf>
    <xf numFmtId="0" fontId="64" fillId="0" borderId="137" xfId="0" applyFont="1" applyBorder="1" applyAlignment="1">
      <alignment horizontal="left" indent="1"/>
    </xf>
    <xf numFmtId="3" fontId="64" fillId="5" borderId="78" xfId="0" applyNumberFormat="1" applyFont="1" applyFill="1" applyBorder="1" applyAlignment="1">
      <alignment/>
    </xf>
    <xf numFmtId="3" fontId="64" fillId="5" borderId="79" xfId="0" applyNumberFormat="1" applyFont="1" applyFill="1" applyBorder="1" applyAlignment="1">
      <alignment/>
    </xf>
    <xf numFmtId="3" fontId="64" fillId="5" borderId="99" xfId="0" applyNumberFormat="1" applyFont="1" applyFill="1" applyBorder="1" applyAlignment="1">
      <alignment/>
    </xf>
    <xf numFmtId="3" fontId="64" fillId="5" borderId="42" xfId="0" applyNumberFormat="1" applyFont="1" applyFill="1" applyBorder="1" applyAlignment="1">
      <alignment/>
    </xf>
    <xf numFmtId="3" fontId="64" fillId="0" borderId="79" xfId="0" applyNumberFormat="1" applyFont="1" applyBorder="1" applyAlignment="1">
      <alignment/>
    </xf>
    <xf numFmtId="4" fontId="64" fillId="0" borderId="138" xfId="0" applyNumberFormat="1" applyFont="1" applyBorder="1" applyAlignment="1">
      <alignment/>
    </xf>
    <xf numFmtId="0" fontId="73" fillId="0" borderId="0" xfId="22" applyFont="1">
      <alignment/>
      <protection/>
    </xf>
    <xf numFmtId="0" fontId="73" fillId="0" borderId="0" xfId="22" applyFont="1" applyAlignment="1">
      <alignment horizontal="left"/>
      <protection/>
    </xf>
    <xf numFmtId="0" fontId="73" fillId="0" borderId="0" xfId="22" applyFont="1" applyAlignment="1">
      <alignment horizontal="center"/>
      <protection/>
    </xf>
    <xf numFmtId="0" fontId="65" fillId="0" borderId="139" xfId="0" applyFont="1" applyBorder="1" applyAlignment="1">
      <alignment horizontal="centerContinuous" vertical="center" wrapText="1"/>
    </xf>
    <xf numFmtId="0" fontId="65" fillId="0" borderId="115" xfId="0" applyFont="1" applyBorder="1" applyAlignment="1">
      <alignment horizontal="centerContinuous" vertical="center" wrapText="1"/>
    </xf>
    <xf numFmtId="4" fontId="44" fillId="0" borderId="140" xfId="0" applyNumberFormat="1" applyFont="1" applyBorder="1" applyAlignment="1">
      <alignment/>
    </xf>
    <xf numFmtId="3" fontId="64" fillId="0" borderId="141" xfId="0" applyNumberFormat="1" applyFont="1" applyBorder="1" applyAlignment="1">
      <alignment/>
    </xf>
    <xf numFmtId="3" fontId="65" fillId="0" borderId="142" xfId="0" applyNumberFormat="1" applyFont="1" applyBorder="1" applyAlignment="1">
      <alignment/>
    </xf>
    <xf numFmtId="3" fontId="64" fillId="0" borderId="143" xfId="0" applyNumberFormat="1" applyFont="1" applyBorder="1" applyAlignment="1">
      <alignment/>
    </xf>
    <xf numFmtId="3" fontId="65" fillId="0" borderId="144" xfId="0" applyNumberFormat="1" applyFont="1" applyBorder="1" applyAlignment="1">
      <alignment/>
    </xf>
    <xf numFmtId="3" fontId="65" fillId="5" borderId="132" xfId="0" applyNumberFormat="1" applyFont="1" applyFill="1" applyBorder="1" applyAlignment="1">
      <alignment/>
    </xf>
    <xf numFmtId="0" fontId="118" fillId="0" borderId="145" xfId="0" applyFont="1" applyBorder="1" applyAlignment="1">
      <alignment/>
    </xf>
    <xf numFmtId="3" fontId="118" fillId="0" borderId="74" xfId="0" applyNumberFormat="1" applyFont="1" applyBorder="1" applyAlignment="1">
      <alignment/>
    </xf>
    <xf numFmtId="3" fontId="118" fillId="5" borderId="69" xfId="0" applyNumberFormat="1" applyFont="1" applyFill="1" applyBorder="1" applyAlignment="1">
      <alignment/>
    </xf>
    <xf numFmtId="3" fontId="118" fillId="5" borderId="75" xfId="0" applyNumberFormat="1" applyFont="1" applyFill="1" applyBorder="1" applyAlignment="1">
      <alignment/>
    </xf>
    <xf numFmtId="3" fontId="118" fillId="0" borderId="71" xfId="0" applyNumberFormat="1" applyFont="1" applyBorder="1" applyAlignment="1">
      <alignment/>
    </xf>
    <xf numFmtId="3" fontId="118" fillId="5" borderId="73" xfId="0" applyNumberFormat="1" applyFont="1" applyFill="1" applyBorder="1" applyAlignment="1">
      <alignment/>
    </xf>
    <xf numFmtId="3" fontId="118" fillId="5" borderId="70" xfId="0" applyNumberFormat="1" applyFont="1" applyFill="1" applyBorder="1" applyAlignment="1">
      <alignment/>
    </xf>
    <xf numFmtId="3" fontId="118" fillId="0" borderId="69" xfId="0" applyNumberFormat="1" applyFont="1" applyBorder="1" applyAlignment="1">
      <alignment/>
    </xf>
    <xf numFmtId="4" fontId="118" fillId="0" borderId="119" xfId="0" applyNumberFormat="1" applyFont="1" applyBorder="1" applyAlignment="1">
      <alignment/>
    </xf>
    <xf numFmtId="0" fontId="118" fillId="0" borderId="146" xfId="0" applyFont="1" applyBorder="1" applyAlignment="1">
      <alignment/>
    </xf>
    <xf numFmtId="3" fontId="118" fillId="0" borderId="81" xfId="0" applyNumberFormat="1" applyFont="1" applyBorder="1" applyAlignment="1">
      <alignment/>
    </xf>
    <xf numFmtId="3" fontId="118" fillId="0" borderId="78" xfId="0" applyNumberFormat="1" applyFont="1" applyBorder="1" applyAlignment="1">
      <alignment/>
    </xf>
    <xf numFmtId="3" fontId="118" fillId="0" borderId="79" xfId="0" applyNumberFormat="1" applyFont="1" applyBorder="1" applyAlignment="1">
      <alignment/>
    </xf>
    <xf numFmtId="3" fontId="118" fillId="0" borderId="80" xfId="0" applyNumberFormat="1" applyFont="1" applyBorder="1" applyAlignment="1">
      <alignment/>
    </xf>
    <xf numFmtId="3" fontId="118" fillId="0" borderId="99" xfId="0" applyNumberFormat="1" applyFont="1" applyBorder="1" applyAlignment="1">
      <alignment/>
    </xf>
    <xf numFmtId="4" fontId="118" fillId="0" borderId="138" xfId="0" applyNumberFormat="1" applyFont="1" applyBorder="1" applyAlignment="1">
      <alignment/>
    </xf>
    <xf numFmtId="4" fontId="118" fillId="0" borderId="147" xfId="0" applyNumberFormat="1" applyFont="1" applyBorder="1" applyAlignment="1">
      <alignment/>
    </xf>
    <xf numFmtId="0" fontId="118" fillId="0" borderId="0" xfId="0" applyFont="1" applyAlignment="1">
      <alignment/>
    </xf>
    <xf numFmtId="3" fontId="118" fillId="0" borderId="44" xfId="0" applyNumberFormat="1" applyFont="1" applyBorder="1" applyAlignment="1">
      <alignment/>
    </xf>
    <xf numFmtId="3" fontId="118" fillId="5" borderId="78" xfId="0" applyNumberFormat="1" applyFont="1" applyFill="1" applyBorder="1" applyAlignment="1">
      <alignment/>
    </xf>
    <xf numFmtId="3" fontId="118" fillId="5" borderId="79" xfId="0" applyNumberFormat="1" applyFont="1" applyFill="1" applyBorder="1" applyAlignment="1">
      <alignment/>
    </xf>
    <xf numFmtId="3" fontId="118" fillId="5" borderId="99" xfId="0" applyNumberFormat="1" applyFont="1" applyFill="1" applyBorder="1" applyAlignment="1">
      <alignment/>
    </xf>
    <xf numFmtId="3" fontId="118" fillId="5" borderId="44" xfId="0" applyNumberFormat="1" applyFont="1" applyFill="1" applyBorder="1" applyAlignment="1">
      <alignment/>
    </xf>
    <xf numFmtId="0" fontId="118" fillId="0" borderId="148" xfId="0" applyFont="1" applyBorder="1" applyAlignment="1">
      <alignment/>
    </xf>
    <xf numFmtId="3" fontId="118" fillId="0" borderId="6" xfId="0" applyNumberFormat="1" applyFont="1" applyBorder="1" applyAlignment="1">
      <alignment/>
    </xf>
    <xf numFmtId="3" fontId="118" fillId="5" borderId="46" xfId="0" applyNumberFormat="1" applyFont="1" applyFill="1" applyBorder="1" applyAlignment="1">
      <alignment/>
    </xf>
    <xf numFmtId="3" fontId="118" fillId="5" borderId="91" xfId="0" applyNumberFormat="1" applyFont="1" applyFill="1" applyBorder="1" applyAlignment="1">
      <alignment/>
    </xf>
    <xf numFmtId="3" fontId="118" fillId="0" borderId="93" xfId="0" applyNumberFormat="1" applyFont="1" applyBorder="1" applyAlignment="1">
      <alignment/>
    </xf>
    <xf numFmtId="3" fontId="118" fillId="5" borderId="47" xfId="0" applyNumberFormat="1" applyFont="1" applyFill="1" applyBorder="1" applyAlignment="1">
      <alignment/>
    </xf>
    <xf numFmtId="3" fontId="118" fillId="5" borderId="96" xfId="0" applyNumberFormat="1" applyFont="1" applyFill="1" applyBorder="1" applyAlignment="1">
      <alignment/>
    </xf>
    <xf numFmtId="3" fontId="118" fillId="0" borderId="46" xfId="0" applyNumberFormat="1" applyFont="1" applyBorder="1" applyAlignment="1">
      <alignment/>
    </xf>
    <xf numFmtId="4" fontId="118" fillId="0" borderId="149" xfId="0" applyNumberFormat="1" applyFont="1" applyBorder="1" applyAlignment="1">
      <alignment/>
    </xf>
    <xf numFmtId="0" fontId="56" fillId="0" borderId="80" xfId="0" applyFont="1" applyBorder="1" applyAlignment="1">
      <alignment horizontal="left" vertical="center" indent="1"/>
    </xf>
    <xf numFmtId="0" fontId="52" fillId="0" borderId="0" xfId="0" applyFont="1" applyFill="1" applyAlignment="1">
      <alignment horizontal="right"/>
    </xf>
    <xf numFmtId="0" fontId="55" fillId="0" borderId="0" xfId="22" applyFont="1" applyFill="1" applyAlignment="1">
      <alignment horizontal="right" vertical="top"/>
      <protection/>
    </xf>
    <xf numFmtId="0" fontId="49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6" fillId="0" borderId="0" xfId="0" applyFont="1" applyFill="1" applyAlignment="1">
      <alignment horizontal="right"/>
    </xf>
    <xf numFmtId="0" fontId="52" fillId="0" borderId="48" xfId="0" applyFont="1" applyFill="1" applyBorder="1" applyAlignment="1">
      <alignment horizontal="center" vertical="center" wrapText="1"/>
    </xf>
    <xf numFmtId="0" fontId="67" fillId="0" borderId="46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52" fillId="0" borderId="56" xfId="0" applyFont="1" applyFill="1" applyBorder="1" applyAlignment="1">
      <alignment horizontal="center" vertical="center" wrapText="1"/>
    </xf>
    <xf numFmtId="0" fontId="49" fillId="0" borderId="46" xfId="0" applyFont="1" applyFill="1" applyBorder="1" applyAlignment="1">
      <alignment horizontal="center" vertical="center" wrapText="1"/>
    </xf>
    <xf numFmtId="0" fontId="52" fillId="0" borderId="101" xfId="0" applyFont="1" applyFill="1" applyBorder="1" applyAlignment="1">
      <alignment horizontal="center" vertical="center" wrapText="1"/>
    </xf>
    <xf numFmtId="0" fontId="49" fillId="0" borderId="107" xfId="0" applyFont="1" applyFill="1" applyBorder="1" applyAlignment="1">
      <alignment horizontal="center" vertical="center"/>
    </xf>
    <xf numFmtId="0" fontId="49" fillId="0" borderId="67" xfId="0" applyFont="1" applyFill="1" applyBorder="1" applyAlignment="1">
      <alignment horizontal="center" vertical="center"/>
    </xf>
    <xf numFmtId="0" fontId="49" fillId="0" borderId="103" xfId="0" applyFont="1" applyFill="1" applyBorder="1" applyAlignment="1">
      <alignment horizontal="center" vertical="center"/>
    </xf>
    <xf numFmtId="0" fontId="49" fillId="0" borderId="88" xfId="0" applyFont="1" applyFill="1" applyBorder="1" applyAlignment="1">
      <alignment horizontal="center" vertical="center"/>
    </xf>
    <xf numFmtId="0" fontId="49" fillId="0" borderId="102" xfId="0" applyFont="1" applyFill="1" applyBorder="1" applyAlignment="1">
      <alignment horizontal="center" vertical="center"/>
    </xf>
    <xf numFmtId="49" fontId="52" fillId="0" borderId="7" xfId="0" applyNumberFormat="1" applyFont="1" applyFill="1" applyBorder="1" applyAlignment="1">
      <alignment horizontal="center"/>
    </xf>
    <xf numFmtId="49" fontId="54" fillId="0" borderId="41" xfId="0" applyNumberFormat="1" applyFont="1" applyFill="1" applyBorder="1" applyAlignment="1">
      <alignment horizontal="left" indent="1"/>
    </xf>
    <xf numFmtId="4" fontId="52" fillId="0" borderId="25" xfId="0" applyNumberFormat="1" applyFont="1" applyFill="1" applyBorder="1" applyAlignment="1">
      <alignment horizontal="right"/>
    </xf>
    <xf numFmtId="4" fontId="52" fillId="0" borderId="47" xfId="0" applyNumberFormat="1" applyFont="1" applyFill="1" applyBorder="1" applyAlignment="1">
      <alignment horizontal="right"/>
    </xf>
    <xf numFmtId="4" fontId="52" fillId="0" borderId="94" xfId="0" applyNumberFormat="1" applyFont="1" applyFill="1" applyBorder="1" applyAlignment="1">
      <alignment horizontal="right"/>
    </xf>
    <xf numFmtId="4" fontId="52" fillId="0" borderId="93" xfId="0" applyNumberFormat="1" applyFont="1" applyFill="1" applyBorder="1" applyAlignment="1">
      <alignment horizontal="right"/>
    </xf>
    <xf numFmtId="4" fontId="52" fillId="0" borderId="108" xfId="0" applyNumberFormat="1" applyFont="1" applyFill="1" applyBorder="1" applyAlignment="1">
      <alignment/>
    </xf>
    <xf numFmtId="4" fontId="52" fillId="0" borderId="41" xfId="0" applyNumberFormat="1" applyFont="1" applyFill="1" applyBorder="1" applyAlignment="1">
      <alignment/>
    </xf>
    <xf numFmtId="49" fontId="52" fillId="0" borderId="14" xfId="0" applyNumberFormat="1" applyFont="1" applyFill="1" applyBorder="1" applyAlignment="1">
      <alignment horizontal="center"/>
    </xf>
    <xf numFmtId="49" fontId="54" fillId="0" borderId="54" xfId="0" applyNumberFormat="1" applyFont="1" applyFill="1" applyBorder="1" applyAlignment="1">
      <alignment horizontal="left" indent="1"/>
    </xf>
    <xf numFmtId="4" fontId="54" fillId="0" borderId="15" xfId="0" applyNumberFormat="1" applyFont="1" applyFill="1" applyBorder="1" applyAlignment="1">
      <alignment/>
    </xf>
    <xf numFmtId="4" fontId="54" fillId="0" borderId="92" xfId="0" applyNumberFormat="1" applyFont="1" applyFill="1" applyBorder="1" applyAlignment="1">
      <alignment horizontal="right"/>
    </xf>
    <xf numFmtId="4" fontId="54" fillId="0" borderId="92" xfId="0" applyNumberFormat="1" applyFont="1" applyFill="1" applyBorder="1" applyAlignment="1">
      <alignment/>
    </xf>
    <xf numFmtId="4" fontId="54" fillId="0" borderId="101" xfId="0" applyNumberFormat="1" applyFont="1" applyFill="1" applyBorder="1" applyAlignment="1">
      <alignment horizontal="right"/>
    </xf>
    <xf numFmtId="4" fontId="54" fillId="0" borderId="106" xfId="0" applyNumberFormat="1" applyFont="1" applyFill="1" applyBorder="1" applyAlignment="1">
      <alignment/>
    </xf>
    <xf numFmtId="4" fontId="54" fillId="0" borderId="100" xfId="0" applyNumberFormat="1" applyFont="1" applyFill="1" applyBorder="1" applyAlignment="1">
      <alignment/>
    </xf>
    <xf numFmtId="10" fontId="54" fillId="0" borderId="54" xfId="0" applyNumberFormat="1" applyFont="1" applyFill="1" applyBorder="1" applyAlignment="1">
      <alignment/>
    </xf>
    <xf numFmtId="49" fontId="52" fillId="0" borderId="66" xfId="0" applyNumberFormat="1" applyFont="1" applyFill="1" applyBorder="1" applyAlignment="1">
      <alignment horizontal="center"/>
    </xf>
    <xf numFmtId="0" fontId="52" fillId="0" borderId="65" xfId="0" applyFont="1" applyFill="1" applyBorder="1" applyAlignment="1">
      <alignment/>
    </xf>
    <xf numFmtId="4" fontId="52" fillId="0" borderId="60" xfId="0" applyNumberFormat="1" applyFont="1" applyFill="1" applyBorder="1" applyAlignment="1">
      <alignment/>
    </xf>
    <xf numFmtId="4" fontId="52" fillId="0" borderId="58" xfId="0" applyNumberFormat="1" applyFont="1" applyFill="1" applyBorder="1" applyAlignment="1">
      <alignment/>
    </xf>
    <xf numFmtId="4" fontId="52" fillId="0" borderId="58" xfId="0" applyNumberFormat="1" applyFont="1" applyFill="1" applyBorder="1" applyAlignment="1">
      <alignment horizontal="right"/>
    </xf>
    <xf numFmtId="4" fontId="52" fillId="0" borderId="64" xfId="0" applyNumberFormat="1" applyFont="1" applyFill="1" applyBorder="1" applyAlignment="1">
      <alignment/>
    </xf>
    <xf numFmtId="4" fontId="52" fillId="0" borderId="63" xfId="0" applyNumberFormat="1" applyFont="1" applyFill="1" applyBorder="1" applyAlignment="1">
      <alignment/>
    </xf>
    <xf numFmtId="4" fontId="52" fillId="0" borderId="62" xfId="0" applyNumberFormat="1" applyFont="1" applyFill="1" applyBorder="1" applyAlignment="1">
      <alignment/>
    </xf>
    <xf numFmtId="10" fontId="54" fillId="0" borderId="65" xfId="0" applyNumberFormat="1" applyFont="1" applyFill="1" applyBorder="1" applyAlignment="1">
      <alignment/>
    </xf>
    <xf numFmtId="10" fontId="54" fillId="0" borderId="65" xfId="0" applyNumberFormat="1" applyFont="1" applyFill="1" applyBorder="1" applyAlignment="1">
      <alignment horizontal="right"/>
    </xf>
    <xf numFmtId="49" fontId="52" fillId="0" borderId="65" xfId="0" applyNumberFormat="1" applyFont="1" applyFill="1" applyBorder="1" applyAlignment="1">
      <alignment horizontal="left" indent="1"/>
    </xf>
    <xf numFmtId="10" fontId="52" fillId="0" borderId="65" xfId="0" applyNumberFormat="1" applyFont="1" applyFill="1" applyBorder="1" applyAlignment="1">
      <alignment/>
    </xf>
    <xf numFmtId="49" fontId="52" fillId="0" borderId="88" xfId="0" applyNumberFormat="1" applyFont="1" applyFill="1" applyBorder="1" applyAlignment="1">
      <alignment horizontal="center"/>
    </xf>
    <xf numFmtId="49" fontId="52" fillId="0" borderId="57" xfId="0" applyNumberFormat="1" applyFont="1" applyFill="1" applyBorder="1" applyAlignment="1">
      <alignment horizontal="center"/>
    </xf>
    <xf numFmtId="49" fontId="52" fillId="0" borderId="76" xfId="0" applyNumberFormat="1" applyFont="1" applyFill="1" applyBorder="1" applyAlignment="1">
      <alignment horizontal="left" indent="1"/>
    </xf>
    <xf numFmtId="4" fontId="52" fillId="0" borderId="71" xfId="0" applyNumberFormat="1" applyFont="1" applyFill="1" applyBorder="1" applyAlignment="1">
      <alignment/>
    </xf>
    <xf numFmtId="4" fontId="52" fillId="0" borderId="69" xfId="0" applyNumberFormat="1" applyFont="1" applyFill="1" applyBorder="1" applyAlignment="1">
      <alignment/>
    </xf>
    <xf numFmtId="4" fontId="52" fillId="0" borderId="74" xfId="0" applyNumberFormat="1" applyFont="1" applyFill="1" applyBorder="1" applyAlignment="1">
      <alignment/>
    </xf>
    <xf numFmtId="49" fontId="54" fillId="0" borderId="45" xfId="0" applyNumberFormat="1" applyFont="1" applyFill="1" applyBorder="1" applyAlignment="1">
      <alignment horizontal="left" indent="1"/>
    </xf>
    <xf numFmtId="49" fontId="52" fillId="0" borderId="54" xfId="0" applyNumberFormat="1" applyFont="1" applyFill="1" applyBorder="1" applyAlignment="1">
      <alignment horizontal="left" indent="1"/>
    </xf>
    <xf numFmtId="4" fontId="52" fillId="0" borderId="61" xfId="0" applyNumberFormat="1" applyFont="1" applyFill="1" applyBorder="1" applyAlignment="1">
      <alignment/>
    </xf>
    <xf numFmtId="49" fontId="49" fillId="0" borderId="66" xfId="0" applyNumberFormat="1" applyFont="1" applyFill="1" applyBorder="1" applyAlignment="1">
      <alignment horizontal="center"/>
    </xf>
    <xf numFmtId="0" fontId="52" fillId="0" borderId="76" xfId="0" applyFont="1" applyFill="1" applyBorder="1" applyAlignment="1">
      <alignment/>
    </xf>
    <xf numFmtId="49" fontId="52" fillId="0" borderId="85" xfId="0" applyNumberFormat="1" applyFont="1" applyFill="1" applyBorder="1" applyAlignment="1">
      <alignment horizontal="center"/>
    </xf>
    <xf numFmtId="49" fontId="54" fillId="0" borderId="16" xfId="0" applyNumberFormat="1" applyFont="1" applyFill="1" applyBorder="1" applyAlignment="1">
      <alignment horizontal="left" indent="1"/>
    </xf>
    <xf numFmtId="49" fontId="52" fillId="0" borderId="45" xfId="0" applyNumberFormat="1" applyFont="1" applyFill="1" applyBorder="1" applyAlignment="1">
      <alignment horizontal="center"/>
    </xf>
    <xf numFmtId="49" fontId="52" fillId="0" borderId="49" xfId="0" applyNumberFormat="1" applyFont="1" applyFill="1" applyBorder="1" applyAlignment="1">
      <alignment horizontal="center"/>
    </xf>
    <xf numFmtId="49" fontId="54" fillId="0" borderId="4" xfId="0" applyNumberFormat="1" applyFont="1" applyFill="1" applyBorder="1" applyAlignment="1">
      <alignment horizontal="left" indent="1"/>
    </xf>
    <xf numFmtId="49" fontId="52" fillId="0" borderId="48" xfId="0" applyNumberFormat="1" applyFont="1" applyFill="1" applyBorder="1" applyAlignment="1">
      <alignment horizontal="center"/>
    </xf>
    <xf numFmtId="49" fontId="52" fillId="0" borderId="46" xfId="0" applyNumberFormat="1" applyFont="1" applyFill="1" applyBorder="1" applyAlignment="1">
      <alignment horizontal="left" indent="1"/>
    </xf>
    <xf numFmtId="4" fontId="52" fillId="0" borderId="46" xfId="0" applyNumberFormat="1" applyFont="1" applyFill="1" applyBorder="1" applyAlignment="1">
      <alignment/>
    </xf>
    <xf numFmtId="4" fontId="54" fillId="0" borderId="55" xfId="0" applyNumberFormat="1" applyFont="1" applyFill="1" applyBorder="1" applyAlignment="1">
      <alignment vertical="center"/>
    </xf>
    <xf numFmtId="4" fontId="54" fillId="0" borderId="46" xfId="0" applyNumberFormat="1" applyFont="1" applyFill="1" applyBorder="1" applyAlignment="1">
      <alignment vertical="center"/>
    </xf>
    <xf numFmtId="4" fontId="54" fillId="0" borderId="16" xfId="0" applyNumberFormat="1" applyFont="1" applyFill="1" applyBorder="1" applyAlignment="1">
      <alignment horizontal="right" vertical="center"/>
    </xf>
    <xf numFmtId="49" fontId="54" fillId="0" borderId="46" xfId="0" applyNumberFormat="1" applyFont="1" applyFill="1" applyBorder="1" applyAlignment="1">
      <alignment horizontal="left" indent="1"/>
    </xf>
    <xf numFmtId="4" fontId="54" fillId="0" borderId="46" xfId="0" applyNumberFormat="1" applyFont="1" applyFill="1" applyBorder="1" applyAlignment="1">
      <alignment/>
    </xf>
    <xf numFmtId="4" fontId="54" fillId="0" borderId="78" xfId="0" applyNumberFormat="1" applyFont="1" applyFill="1" applyBorder="1" applyAlignment="1">
      <alignment vertical="center"/>
    </xf>
    <xf numFmtId="4" fontId="54" fillId="0" borderId="99" xfId="0" applyNumberFormat="1" applyFont="1" applyFill="1" applyBorder="1" applyAlignment="1">
      <alignment vertical="center"/>
    </xf>
    <xf numFmtId="4" fontId="54" fillId="0" borderId="77" xfId="0" applyNumberFormat="1" applyFont="1" applyFill="1" applyBorder="1" applyAlignment="1">
      <alignment horizontal="right"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 horizontal="left" wrapText="1" indent="1"/>
    </xf>
    <xf numFmtId="0" fontId="52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wrapText="1"/>
    </xf>
    <xf numFmtId="3" fontId="52" fillId="0" borderId="0" xfId="0" applyNumberFormat="1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0" fontId="52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3" fontId="54" fillId="0" borderId="0" xfId="0" applyNumberFormat="1" applyFont="1" applyFill="1" applyAlignment="1">
      <alignment/>
    </xf>
    <xf numFmtId="0" fontId="55" fillId="0" borderId="0" xfId="0" applyFont="1" applyFill="1" applyAlignment="1">
      <alignment horizontal="left"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89" xfId="0" applyFill="1" applyBorder="1" applyAlignment="1">
      <alignment horizontal="left" vertical="center"/>
    </xf>
    <xf numFmtId="49" fontId="0" fillId="0" borderId="90" xfId="0" applyNumberFormat="1" applyFill="1" applyBorder="1" applyAlignment="1">
      <alignment horizontal="center" vertical="top" wrapText="1"/>
    </xf>
    <xf numFmtId="49" fontId="0" fillId="0" borderId="90" xfId="0" applyNumberFormat="1" applyBorder="1" applyAlignment="1">
      <alignment horizontal="center" vertical="top" wrapText="1"/>
    </xf>
    <xf numFmtId="49" fontId="0" fillId="0" borderId="96" xfId="0" applyNumberFormat="1" applyFill="1" applyBorder="1" applyAlignment="1">
      <alignment horizontal="center" vertical="top" wrapText="1"/>
    </xf>
    <xf numFmtId="0" fontId="0" fillId="0" borderId="63" xfId="0" applyFill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49" fontId="0" fillId="0" borderId="63" xfId="0" applyNumberFormat="1" applyFill="1" applyBorder="1" applyAlignment="1">
      <alignment/>
    </xf>
    <xf numFmtId="49" fontId="0" fillId="0" borderId="58" xfId="0" applyNumberFormat="1" applyFill="1" applyBorder="1" applyAlignment="1">
      <alignment horizontal="center"/>
    </xf>
    <xf numFmtId="4" fontId="0" fillId="0" borderId="58" xfId="0" applyNumberFormat="1" applyFill="1" applyBorder="1" applyAlignment="1">
      <alignment/>
    </xf>
    <xf numFmtId="4" fontId="0" fillId="0" borderId="64" xfId="0" applyNumberFormat="1" applyFill="1" applyBorder="1" applyAlignment="1">
      <alignment/>
    </xf>
    <xf numFmtId="49" fontId="0" fillId="0" borderId="74" xfId="0" applyNumberFormat="1" applyFill="1" applyBorder="1" applyAlignment="1">
      <alignment/>
    </xf>
    <xf numFmtId="49" fontId="0" fillId="0" borderId="69" xfId="0" applyNumberFormat="1" applyFill="1" applyBorder="1" applyAlignment="1">
      <alignment horizontal="center"/>
    </xf>
    <xf numFmtId="4" fontId="0" fillId="0" borderId="69" xfId="0" applyNumberFormat="1" applyFill="1" applyBorder="1" applyAlignment="1">
      <alignment/>
    </xf>
    <xf numFmtId="4" fontId="0" fillId="0" borderId="75" xfId="0" applyNumberFormat="1" applyFill="1" applyBorder="1" applyAlignment="1">
      <alignment/>
    </xf>
    <xf numFmtId="0" fontId="52" fillId="0" borderId="0" xfId="0" applyFont="1" applyAlignment="1">
      <alignment/>
    </xf>
    <xf numFmtId="49" fontId="0" fillId="0" borderId="0" xfId="0" applyNumberFormat="1" applyAlignment="1">
      <alignment/>
    </xf>
    <xf numFmtId="0" fontId="55" fillId="0" borderId="0" xfId="20" applyFont="1">
      <alignment/>
      <protection/>
    </xf>
    <xf numFmtId="0" fontId="70" fillId="0" borderId="0" xfId="0" applyFont="1" applyAlignment="1">
      <alignment horizontal="center"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4" fillId="0" borderId="150" xfId="0" applyFont="1" applyBorder="1" applyAlignment="1">
      <alignment horizontal="center" vertical="center"/>
    </xf>
    <xf numFmtId="0" fontId="73" fillId="0" borderId="151" xfId="0" applyFont="1" applyBorder="1" applyAlignment="1">
      <alignment horizontal="center" wrapText="1"/>
    </xf>
    <xf numFmtId="0" fontId="64" fillId="0" borderId="150" xfId="0" applyFont="1" applyBorder="1" applyAlignment="1">
      <alignment horizontal="center" vertical="center" wrapText="1"/>
    </xf>
    <xf numFmtId="0" fontId="64" fillId="0" borderId="151" xfId="0" applyFont="1" applyBorder="1" applyAlignment="1">
      <alignment horizontal="center" vertical="center" wrapText="1"/>
    </xf>
    <xf numFmtId="0" fontId="74" fillId="0" borderId="0" xfId="0" applyFont="1" applyAlignment="1">
      <alignment horizontal="right"/>
    </xf>
    <xf numFmtId="0" fontId="64" fillId="0" borderId="152" xfId="0" applyFont="1" applyBorder="1" applyAlignment="1">
      <alignment horizontal="center" vertical="center"/>
    </xf>
    <xf numFmtId="0" fontId="64" fillId="0" borderId="128" xfId="0" applyFont="1" applyBorder="1" applyAlignment="1">
      <alignment horizontal="center" vertical="center" wrapText="1"/>
    </xf>
    <xf numFmtId="0" fontId="64" fillId="0" borderId="153" xfId="0" applyFont="1" applyBorder="1" applyAlignment="1">
      <alignment horizontal="center" vertical="center" wrapText="1"/>
    </xf>
    <xf numFmtId="0" fontId="64" fillId="0" borderId="152" xfId="0" applyFont="1" applyBorder="1" applyAlignment="1">
      <alignment horizontal="center" vertical="center" wrapText="1"/>
    </xf>
    <xf numFmtId="0" fontId="73" fillId="0" borderId="150" xfId="0" applyFont="1" applyBorder="1" applyAlignment="1">
      <alignment horizontal="center" wrapText="1"/>
    </xf>
    <xf numFmtId="0" fontId="78" fillId="0" borderId="0" xfId="0" applyFont="1" applyAlignment="1">
      <alignment horizontal="center"/>
    </xf>
    <xf numFmtId="0" fontId="65" fillId="0" borderId="133" xfId="0" applyFont="1" applyBorder="1" applyAlignment="1">
      <alignment horizontal="center" vertical="center"/>
    </xf>
    <xf numFmtId="0" fontId="65" fillId="0" borderId="118" xfId="0" applyFont="1" applyBorder="1" applyAlignment="1">
      <alignment horizontal="center" vertical="center"/>
    </xf>
    <xf numFmtId="0" fontId="64" fillId="0" borderId="139" xfId="0" applyFont="1" applyBorder="1" applyAlignment="1">
      <alignment horizontal="center" vertical="center"/>
    </xf>
    <xf numFmtId="0" fontId="64" fillId="0" borderId="154" xfId="0" applyFont="1" applyBorder="1" applyAlignment="1">
      <alignment horizontal="center" vertical="center"/>
    </xf>
    <xf numFmtId="0" fontId="73" fillId="0" borderId="0" xfId="22" applyFont="1" applyAlignment="1">
      <alignment horizontal="right"/>
      <protection/>
    </xf>
    <xf numFmtId="0" fontId="65" fillId="0" borderId="152" xfId="0" applyFont="1" applyBorder="1" applyAlignment="1">
      <alignment horizontal="center" vertical="center" wrapText="1"/>
    </xf>
    <xf numFmtId="0" fontId="65" fillId="0" borderId="150" xfId="0" applyFont="1" applyBorder="1" applyAlignment="1">
      <alignment horizontal="center" vertical="center" wrapText="1"/>
    </xf>
    <xf numFmtId="0" fontId="65" fillId="0" borderId="151" xfId="0" applyFont="1" applyBorder="1" applyAlignment="1">
      <alignment horizontal="center" vertical="center" wrapText="1"/>
    </xf>
    <xf numFmtId="0" fontId="64" fillId="0" borderId="151" xfId="0" applyFont="1" applyBorder="1" applyAlignment="1">
      <alignment horizontal="center" vertical="center"/>
    </xf>
    <xf numFmtId="0" fontId="64" fillId="0" borderId="155" xfId="0" applyFont="1" applyBorder="1" applyAlignment="1">
      <alignment horizontal="center" vertical="center"/>
    </xf>
    <xf numFmtId="0" fontId="54" fillId="0" borderId="0" xfId="21" applyFont="1" applyAlignment="1">
      <alignment horizontal="left"/>
      <protection/>
    </xf>
    <xf numFmtId="0" fontId="117" fillId="0" borderId="0" xfId="0" applyFont="1" applyAlignment="1">
      <alignment horizontal="right"/>
    </xf>
    <xf numFmtId="0" fontId="75" fillId="0" borderId="41" xfId="21" applyFont="1" applyFill="1" applyBorder="1" applyAlignment="1">
      <alignment horizontal="center" vertical="center" wrapText="1"/>
      <protection/>
    </xf>
    <xf numFmtId="0" fontId="75" fillId="0" borderId="45" xfId="21" applyFont="1" applyFill="1" applyBorder="1" applyAlignment="1">
      <alignment horizontal="center" vertical="center" wrapText="1"/>
      <protection/>
    </xf>
    <xf numFmtId="0" fontId="75" fillId="0" borderId="49" xfId="21" applyFont="1" applyFill="1" applyBorder="1" applyAlignment="1">
      <alignment horizontal="center" vertical="center" wrapText="1"/>
      <protection/>
    </xf>
    <xf numFmtId="0" fontId="55" fillId="0" borderId="41" xfId="21" applyFont="1" applyFill="1" applyBorder="1" applyAlignment="1">
      <alignment horizontal="center" vertical="center" wrapText="1"/>
      <protection/>
    </xf>
    <xf numFmtId="0" fontId="55" fillId="0" borderId="45" xfId="21" applyFont="1" applyFill="1" applyBorder="1" applyAlignment="1">
      <alignment horizontal="center" vertical="center" wrapText="1"/>
      <protection/>
    </xf>
    <xf numFmtId="0" fontId="55" fillId="0" borderId="49" xfId="21" applyFont="1" applyFill="1" applyBorder="1" applyAlignment="1">
      <alignment horizontal="center" vertical="center" wrapText="1"/>
      <protection/>
    </xf>
    <xf numFmtId="0" fontId="75" fillId="5" borderId="66" xfId="21" applyFont="1" applyFill="1" applyBorder="1" applyAlignment="1">
      <alignment horizontal="center" vertical="center" wrapText="1"/>
      <protection/>
    </xf>
    <xf numFmtId="0" fontId="55" fillId="5" borderId="20" xfId="21" applyFont="1" applyFill="1" applyBorder="1" applyAlignment="1">
      <alignment horizontal="center" vertical="center" wrapText="1"/>
      <protection/>
    </xf>
    <xf numFmtId="0" fontId="71" fillId="0" borderId="41" xfId="21" applyFont="1" applyFill="1" applyBorder="1" applyAlignment="1">
      <alignment horizontal="center" vertical="center" wrapText="1"/>
      <protection/>
    </xf>
    <xf numFmtId="0" fontId="75" fillId="0" borderId="7" xfId="21" applyFont="1" applyFill="1" applyBorder="1" applyAlignment="1">
      <alignment horizontal="center" vertical="center" wrapText="1"/>
      <protection/>
    </xf>
    <xf numFmtId="0" fontId="113" fillId="0" borderId="2" xfId="0" applyFont="1" applyBorder="1" applyAlignment="1">
      <alignment/>
    </xf>
    <xf numFmtId="0" fontId="113" fillId="0" borderId="20" xfId="0" applyFont="1" applyBorder="1" applyAlignment="1">
      <alignment/>
    </xf>
    <xf numFmtId="0" fontId="113" fillId="0" borderId="4" xfId="0" applyFont="1" applyBorder="1" applyAlignment="1">
      <alignment/>
    </xf>
    <xf numFmtId="0" fontId="75" fillId="0" borderId="7" xfId="21" applyFont="1" applyBorder="1" applyAlignment="1">
      <alignment horizontal="center" vertical="center" wrapText="1"/>
      <protection/>
    </xf>
    <xf numFmtId="0" fontId="75" fillId="0" borderId="2" xfId="21" applyFont="1" applyBorder="1" applyAlignment="1">
      <alignment horizontal="center" vertical="center" wrapText="1"/>
      <protection/>
    </xf>
    <xf numFmtId="0" fontId="75" fillId="0" borderId="20" xfId="21" applyFont="1" applyBorder="1" applyAlignment="1">
      <alignment horizontal="center" vertical="center" wrapText="1"/>
      <protection/>
    </xf>
    <xf numFmtId="0" fontId="75" fillId="0" borderId="4" xfId="21" applyFont="1" applyBorder="1" applyAlignment="1">
      <alignment horizontal="center" vertical="center" wrapText="1"/>
      <protection/>
    </xf>
    <xf numFmtId="0" fontId="75" fillId="0" borderId="2" xfId="21" applyFont="1" applyFill="1" applyBorder="1" applyAlignment="1">
      <alignment horizontal="center" vertical="center" wrapText="1"/>
      <protection/>
    </xf>
    <xf numFmtId="0" fontId="75" fillId="0" borderId="20" xfId="21" applyFont="1" applyFill="1" applyBorder="1" applyAlignment="1">
      <alignment horizontal="center" vertical="center" wrapText="1"/>
      <protection/>
    </xf>
    <xf numFmtId="0" fontId="75" fillId="0" borderId="4" xfId="21" applyFont="1" applyFill="1" applyBorder="1" applyAlignment="1">
      <alignment horizontal="center" vertical="center" wrapText="1"/>
      <protection/>
    </xf>
    <xf numFmtId="49" fontId="114" fillId="0" borderId="0" xfId="21" applyNumberFormat="1" applyFont="1" applyAlignment="1">
      <alignment horizontal="center" wrapText="1"/>
      <protection/>
    </xf>
    <xf numFmtId="0" fontId="106" fillId="0" borderId="0" xfId="21" applyFont="1" applyAlignment="1">
      <alignment horizontal="center" wrapText="1"/>
      <protection/>
    </xf>
    <xf numFmtId="0" fontId="71" fillId="0" borderId="82" xfId="21" applyFont="1" applyBorder="1" applyAlignment="1">
      <alignment horizontal="center"/>
      <protection/>
    </xf>
    <xf numFmtId="0" fontId="71" fillId="0" borderId="65" xfId="21" applyFont="1" applyBorder="1" applyAlignment="1">
      <alignment horizontal="center"/>
      <protection/>
    </xf>
    <xf numFmtId="0" fontId="71" fillId="0" borderId="85" xfId="21" applyFont="1" applyBorder="1" applyAlignment="1">
      <alignment horizontal="center"/>
      <protection/>
    </xf>
    <xf numFmtId="0" fontId="75" fillId="0" borderId="2" xfId="21" applyFont="1" applyBorder="1" applyAlignment="1">
      <alignment horizontal="center" vertical="center"/>
      <protection/>
    </xf>
    <xf numFmtId="0" fontId="75" fillId="0" borderId="16" xfId="21" applyFont="1" applyBorder="1" applyAlignment="1">
      <alignment horizontal="center" vertical="center"/>
      <protection/>
    </xf>
    <xf numFmtId="0" fontId="75" fillId="0" borderId="4" xfId="21" applyFont="1" applyBorder="1" applyAlignment="1">
      <alignment horizontal="center" vertical="center"/>
      <protection/>
    </xf>
    <xf numFmtId="0" fontId="75" fillId="0" borderId="41" xfId="21" applyFont="1" applyBorder="1" applyAlignment="1">
      <alignment horizontal="center" vertical="center" wrapText="1"/>
      <protection/>
    </xf>
    <xf numFmtId="0" fontId="75" fillId="0" borderId="45" xfId="21" applyFont="1" applyBorder="1" applyAlignment="1">
      <alignment horizontal="center" vertical="center" wrapText="1"/>
      <protection/>
    </xf>
    <xf numFmtId="0" fontId="75" fillId="0" borderId="49" xfId="21" applyFont="1" applyBorder="1" applyAlignment="1">
      <alignment horizontal="center" vertical="center" wrapText="1"/>
      <protection/>
    </xf>
    <xf numFmtId="0" fontId="75" fillId="0" borderId="66" xfId="21" applyFont="1" applyFill="1" applyBorder="1" applyAlignment="1">
      <alignment horizontal="center" vertical="center" wrapText="1"/>
      <protection/>
    </xf>
    <xf numFmtId="0" fontId="75" fillId="5" borderId="42" xfId="21" applyFont="1" applyFill="1" applyBorder="1" applyAlignment="1">
      <alignment horizontal="center" vertical="center" wrapText="1"/>
      <protection/>
    </xf>
    <xf numFmtId="0" fontId="75" fillId="5" borderId="44" xfId="21" applyFont="1" applyFill="1" applyBorder="1" applyAlignment="1">
      <alignment horizontal="center" vertical="center" wrapText="1"/>
      <protection/>
    </xf>
    <xf numFmtId="0" fontId="55" fillId="0" borderId="2" xfId="21" applyFont="1" applyBorder="1" applyAlignment="1">
      <alignment horizontal="center" vertical="center"/>
      <protection/>
    </xf>
    <xf numFmtId="0" fontId="55" fillId="0" borderId="16" xfId="21" applyFont="1" applyBorder="1" applyAlignment="1">
      <alignment horizontal="center" vertical="center"/>
      <protection/>
    </xf>
    <xf numFmtId="0" fontId="55" fillId="0" borderId="4" xfId="21" applyFont="1" applyBorder="1" applyAlignment="1">
      <alignment horizontal="center" vertical="center"/>
      <protection/>
    </xf>
    <xf numFmtId="0" fontId="54" fillId="0" borderId="41" xfId="0" applyFont="1" applyFill="1" applyBorder="1" applyAlignment="1">
      <alignment horizontal="center" vertical="top" wrapText="1"/>
    </xf>
    <xf numFmtId="0" fontId="54" fillId="0" borderId="49" xfId="0" applyFont="1" applyFill="1" applyBorder="1" applyAlignment="1">
      <alignment horizontal="center" vertical="top" wrapText="1"/>
    </xf>
    <xf numFmtId="0" fontId="76" fillId="0" borderId="0" xfId="0" applyFont="1" applyAlignment="1">
      <alignment horizontal="right"/>
    </xf>
    <xf numFmtId="0" fontId="102" fillId="0" borderId="0" xfId="0" applyFont="1" applyAlignment="1">
      <alignment horizontal="right"/>
    </xf>
    <xf numFmtId="0" fontId="104" fillId="0" borderId="0" xfId="0" applyFont="1" applyAlignment="1">
      <alignment horizontal="center"/>
    </xf>
    <xf numFmtId="0" fontId="55" fillId="0" borderId="4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top" wrapText="1"/>
    </xf>
    <xf numFmtId="0" fontId="52" fillId="0" borderId="0" xfId="32" applyFont="1" applyFill="1" applyAlignment="1" applyProtection="1">
      <alignment horizontal="right"/>
      <protection locked="0"/>
    </xf>
    <xf numFmtId="0" fontId="74" fillId="0" borderId="0" xfId="0" applyFont="1" applyAlignment="1">
      <alignment horizontal="right"/>
    </xf>
    <xf numFmtId="0" fontId="54" fillId="0" borderId="0" xfId="23" applyFont="1" applyBorder="1" applyAlignment="1">
      <alignment horizontal="center" wrapText="1"/>
      <protection/>
    </xf>
    <xf numFmtId="0" fontId="49" fillId="0" borderId="0" xfId="32" applyFont="1" applyFill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0" fontId="77" fillId="0" borderId="0" xfId="23" applyFont="1" applyBorder="1" applyAlignment="1">
      <alignment horizontal="center"/>
      <protection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55" fillId="0" borderId="0" xfId="0" applyFont="1" applyAlignment="1">
      <alignment horizontal="center"/>
    </xf>
    <xf numFmtId="0" fontId="71" fillId="0" borderId="0" xfId="0" applyFont="1" applyFill="1" applyBorder="1" applyAlignment="1">
      <alignment horizontal="right"/>
    </xf>
    <xf numFmtId="49" fontId="54" fillId="0" borderId="42" xfId="0" applyNumberFormat="1" applyFont="1" applyFill="1" applyBorder="1" applyAlignment="1">
      <alignment vertical="center"/>
    </xf>
    <xf numFmtId="49" fontId="49" fillId="0" borderId="8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49" fillId="0" borderId="0" xfId="0" applyFont="1" applyFill="1" applyAlignment="1">
      <alignment horizontal="left" wrapText="1" indent="1"/>
    </xf>
    <xf numFmtId="4" fontId="54" fillId="0" borderId="108" xfId="0" applyNumberFormat="1" applyFont="1" applyFill="1" applyBorder="1" applyAlignment="1">
      <alignment/>
    </xf>
    <xf numFmtId="0" fontId="56" fillId="0" borderId="55" xfId="0" applyFont="1" applyFill="1" applyBorder="1" applyAlignment="1">
      <alignment/>
    </xf>
    <xf numFmtId="0" fontId="56" fillId="0" borderId="51" xfId="0" applyFont="1" applyFill="1" applyBorder="1" applyAlignment="1">
      <alignment/>
    </xf>
    <xf numFmtId="10" fontId="54" fillId="0" borderId="41" xfId="0" applyNumberFormat="1" applyFont="1" applyFill="1" applyBorder="1" applyAlignment="1">
      <alignment/>
    </xf>
    <xf numFmtId="10" fontId="56" fillId="0" borderId="45" xfId="0" applyNumberFormat="1" applyFont="1" applyFill="1" applyBorder="1" applyAlignment="1">
      <alignment/>
    </xf>
    <xf numFmtId="10" fontId="56" fillId="0" borderId="49" xfId="0" applyNumberFormat="1" applyFont="1" applyFill="1" applyBorder="1" applyAlignment="1">
      <alignment/>
    </xf>
    <xf numFmtId="4" fontId="54" fillId="0" borderId="47" xfId="0" applyNumberFormat="1" applyFont="1" applyFill="1" applyBorder="1" applyAlignment="1">
      <alignment/>
    </xf>
    <xf numFmtId="0" fontId="56" fillId="0" borderId="46" xfId="0" applyFont="1" applyFill="1" applyBorder="1" applyAlignment="1">
      <alignment/>
    </xf>
    <xf numFmtId="0" fontId="56" fillId="0" borderId="50" xfId="0" applyFont="1" applyFill="1" applyBorder="1" applyAlignment="1">
      <alignment/>
    </xf>
    <xf numFmtId="4" fontId="54" fillId="0" borderId="93" xfId="0" applyNumberFormat="1" applyFont="1" applyFill="1" applyBorder="1" applyAlignment="1">
      <alignment/>
    </xf>
    <xf numFmtId="0" fontId="56" fillId="0" borderId="48" xfId="0" applyFont="1" applyFill="1" applyBorder="1" applyAlignment="1">
      <alignment/>
    </xf>
    <xf numFmtId="0" fontId="56" fillId="0" borderId="52" xfId="0" applyFont="1" applyFill="1" applyBorder="1" applyAlignment="1">
      <alignment/>
    </xf>
    <xf numFmtId="4" fontId="54" fillId="0" borderId="25" xfId="0" applyNumberFormat="1" applyFont="1" applyFill="1" applyBorder="1" applyAlignment="1">
      <alignment/>
    </xf>
    <xf numFmtId="0" fontId="56" fillId="0" borderId="6" xfId="0" applyFont="1" applyFill="1" applyBorder="1" applyAlignment="1">
      <alignment/>
    </xf>
    <xf numFmtId="0" fontId="56" fillId="0" borderId="5" xfId="0" applyFont="1" applyFill="1" applyBorder="1" applyAlignment="1">
      <alignment/>
    </xf>
    <xf numFmtId="4" fontId="54" fillId="0" borderId="1" xfId="0" applyNumberFormat="1" applyFont="1" applyFill="1" applyBorder="1" applyAlignment="1">
      <alignment/>
    </xf>
    <xf numFmtId="0" fontId="49" fillId="0" borderId="24" xfId="0" applyFont="1" applyFill="1" applyBorder="1" applyAlignment="1">
      <alignment/>
    </xf>
    <xf numFmtId="10" fontId="49" fillId="0" borderId="54" xfId="0" applyNumberFormat="1" applyFont="1" applyFill="1" applyBorder="1" applyAlignment="1">
      <alignment/>
    </xf>
    <xf numFmtId="0" fontId="49" fillId="0" borderId="15" xfId="0" applyFont="1" applyFill="1" applyBorder="1" applyAlignment="1">
      <alignment/>
    </xf>
    <xf numFmtId="0" fontId="55" fillId="0" borderId="0" xfId="22" applyFont="1" applyFill="1" applyAlignment="1">
      <alignment horizontal="right" vertical="top"/>
      <protection/>
    </xf>
    <xf numFmtId="0" fontId="55" fillId="0" borderId="0" xfId="0" applyFont="1" applyFill="1" applyAlignment="1">
      <alignment horizontal="center" vertical="center" wrapText="1"/>
    </xf>
    <xf numFmtId="0" fontId="49" fillId="0" borderId="41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7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87" xfId="0" applyFont="1" applyFill="1" applyBorder="1" applyAlignment="1">
      <alignment horizontal="center" vertical="center" wrapText="1"/>
    </xf>
    <xf numFmtId="0" fontId="54" fillId="0" borderId="57" xfId="0" applyFont="1" applyFill="1" applyBorder="1" applyAlignment="1">
      <alignment horizontal="center" vertical="center" wrapText="1"/>
    </xf>
    <xf numFmtId="0" fontId="56" fillId="0" borderId="61" xfId="0" applyFont="1" applyFill="1" applyBorder="1" applyAlignment="1">
      <alignment horizontal="center" vertical="center" wrapText="1"/>
    </xf>
    <xf numFmtId="0" fontId="56" fillId="0" borderId="60" xfId="0" applyFont="1" applyFill="1" applyBorder="1" applyAlignment="1">
      <alignment horizontal="center" vertical="center" wrapText="1"/>
    </xf>
    <xf numFmtId="0" fontId="54" fillId="0" borderId="62" xfId="0" applyFont="1" applyFill="1" applyBorder="1" applyAlignment="1">
      <alignment horizontal="center" vertical="center" wrapText="1"/>
    </xf>
    <xf numFmtId="0" fontId="54" fillId="0" borderId="61" xfId="0" applyFont="1" applyFill="1" applyBorder="1" applyAlignment="1">
      <alignment horizontal="center" vertical="center" wrapText="1"/>
    </xf>
    <xf numFmtId="0" fontId="54" fillId="0" borderId="59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74" fillId="0" borderId="41" xfId="0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  <xf numFmtId="0" fontId="64" fillId="0" borderId="42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44" xfId="0" applyFont="1" applyBorder="1" applyAlignment="1">
      <alignment horizontal="center" vertical="center"/>
    </xf>
    <xf numFmtId="0" fontId="64" fillId="0" borderId="80" xfId="0" applyFont="1" applyBorder="1" applyAlignment="1">
      <alignment horizontal="center" vertical="center"/>
    </xf>
    <xf numFmtId="0" fontId="71" fillId="0" borderId="0" xfId="0" applyFont="1" applyAlignment="1">
      <alignment horizontal="right"/>
    </xf>
    <xf numFmtId="3" fontId="75" fillId="0" borderId="0" xfId="30" applyNumberFormat="1" applyFont="1" applyFill="1" applyAlignment="1">
      <alignment horizontal="center"/>
      <protection/>
    </xf>
    <xf numFmtId="3" fontId="54" fillId="0" borderId="7" xfId="30" applyNumberFormat="1" applyFont="1" applyFill="1" applyBorder="1" applyAlignment="1">
      <alignment horizontal="center" vertical="center"/>
      <protection/>
    </xf>
    <xf numFmtId="3" fontId="54" fillId="0" borderId="1" xfId="30" applyNumberFormat="1" applyFont="1" applyFill="1" applyBorder="1" applyAlignment="1">
      <alignment horizontal="center" vertical="center"/>
      <protection/>
    </xf>
    <xf numFmtId="3" fontId="54" fillId="0" borderId="2" xfId="30" applyNumberFormat="1" applyFont="1" applyFill="1" applyBorder="1" applyAlignment="1">
      <alignment horizontal="center" vertical="center"/>
      <protection/>
    </xf>
    <xf numFmtId="3" fontId="54" fillId="0" borderId="7" xfId="30" applyNumberFormat="1" applyFont="1" applyFill="1" applyBorder="1" applyAlignment="1">
      <alignment horizontal="center"/>
      <protection/>
    </xf>
    <xf numFmtId="3" fontId="54" fillId="0" borderId="1" xfId="30" applyNumberFormat="1" applyFont="1" applyFill="1" applyBorder="1" applyAlignment="1">
      <alignment horizontal="center"/>
      <protection/>
    </xf>
    <xf numFmtId="3" fontId="54" fillId="0" borderId="2" xfId="30" applyNumberFormat="1" applyFont="1" applyFill="1" applyBorder="1" applyAlignment="1">
      <alignment horizontal="center"/>
      <protection/>
    </xf>
    <xf numFmtId="0" fontId="64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74" fillId="0" borderId="0" xfId="20" applyFont="1" applyAlignment="1">
      <alignment horizontal="center"/>
      <protection/>
    </xf>
    <xf numFmtId="0" fontId="66" fillId="0" borderId="0" xfId="20" applyFont="1" applyFill="1" applyBorder="1" applyAlignment="1">
      <alignment horizontal="left" wrapText="1"/>
      <protection/>
    </xf>
    <xf numFmtId="0" fontId="67" fillId="0" borderId="0" xfId="20" applyFont="1" applyAlignment="1">
      <alignment horizontal="right"/>
      <protection/>
    </xf>
    <xf numFmtId="0" fontId="102" fillId="0" borderId="0" xfId="0" applyFont="1" applyAlignment="1">
      <alignment horizontal="center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117" fillId="0" borderId="0" xfId="0" applyFont="1" applyAlignment="1">
      <alignment horizontal="center"/>
    </xf>
    <xf numFmtId="49" fontId="0" fillId="0" borderId="0" xfId="0" applyNumberFormat="1" applyFill="1" applyBorder="1" applyAlignment="1">
      <alignment/>
    </xf>
    <xf numFmtId="0" fontId="14" fillId="11" borderId="7" xfId="0" applyFont="1" applyFill="1" applyBorder="1" applyAlignment="1">
      <alignment horizontal="left" wrapText="1"/>
    </xf>
    <xf numFmtId="0" fontId="14" fillId="11" borderId="1" xfId="0" applyFont="1" applyFill="1" applyBorder="1" applyAlignment="1">
      <alignment horizontal="left" wrapText="1"/>
    </xf>
    <xf numFmtId="0" fontId="14" fillId="11" borderId="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</cellXfs>
  <cellStyles count="2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čerpání MV do KS" xfId="20"/>
    <cellStyle name="normální_duch osdszu08" xfId="21"/>
    <cellStyle name="normální_List1" xfId="22"/>
    <cellStyle name="normální_SZÚ2007seznam podle účastníků" xfId="23"/>
    <cellStyle name="normální_tab 1(PRG-Celk)" xfId="24"/>
    <cellStyle name="_x0000_normální_tab 3 (adres" xfId="25"/>
    <cellStyle name="normální_tab 3 (adres)" xfId="26"/>
    <cellStyle name="normální_tab 3 (adres)_pokus jiné sloupce příl1_pokyn NMV_ novelizace_vzorce" xfId="27"/>
    <cellStyle name="_x0000_normální_tab 5 (odpr" xfId="28"/>
    <cellStyle name="_x0000_normální_tab200" xfId="29"/>
    <cellStyle name="normální_tabulka pro ER 2008" xfId="30"/>
    <cellStyle name="normální_Tabulky č   9  2008 SZÚ" xfId="31"/>
    <cellStyle name="normální_tabulky SZÚ_2007" xfId="32"/>
    <cellStyle name="Percent" xfId="33"/>
    <cellStyle name="Followed Hyperlink" xfId="34"/>
  </cellStyles>
  <dxfs count="3">
    <dxf>
      <font>
        <color auto="1"/>
      </font>
      <border/>
    </dxf>
    <dxf>
      <font>
        <color rgb="FFFFFF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ndsingerova\Dokumenty\SZ&#218;%202008\Podklady\Alenka\SZ&#218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vod do RF"/>
      <sheetName val="převod detaily"/>
      <sheetName val="R1 v tis.Kč"/>
      <sheetName val="převod e) dle 218"/>
      <sheetName val="R1detv tisKč"/>
      <sheetName val="Q06"/>
      <sheetName val="bv06"/>
      <sheetName val="vfp06"/>
      <sheetName val="V+V06"/>
      <sheetName val="zůst.st.RFz tab2"/>
      <sheetName val="čerpRFz tab.2"/>
      <sheetName val="dary 2006"/>
      <sheetName val="příjmy-výdaje RF"/>
      <sheetName val="rekap.RF06"/>
      <sheetName val="OEZ-tab.2"/>
      <sheetName val="OEZ tab.19"/>
      <sheetName val="čerpMZcelkem"/>
      <sheetName val="použúsp po účtech"/>
      <sheetName val="použúsp po oblast"/>
      <sheetName val="tab.č.8 06"/>
      <sheetName val="tab.č.806změny"/>
      <sheetName val="tab č.8 na MF"/>
      <sheetName val="př.3 na MF"/>
      <sheetName val="zk"/>
      <sheetName val="tab.pro MF př.3"/>
      <sheetName val="změnypř.č.3"/>
      <sheetName val="př.č.2 na MF"/>
      <sheetName val="form př.3 z MF"/>
      <sheetName val="tabč.8 05"/>
      <sheetName val="zkouška"/>
      <sheetName val="čerpúsppoobl"/>
    </sheetNames>
    <sheetDataSet>
      <sheetData sheetId="6">
        <row r="41">
          <cell r="C41">
            <v>0</v>
          </cell>
          <cell r="E41">
            <v>0</v>
          </cell>
        </row>
      </sheetData>
      <sheetData sheetId="7">
        <row r="41">
          <cell r="D41">
            <v>0</v>
          </cell>
          <cell r="F41">
            <v>0</v>
          </cell>
          <cell r="H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2"/>
  <sheetViews>
    <sheetView workbookViewId="0" topLeftCell="A25">
      <selection activeCell="A41" sqref="A41"/>
    </sheetView>
  </sheetViews>
  <sheetFormatPr defaultColWidth="9.00390625" defaultRowHeight="12.75"/>
  <cols>
    <col min="1" max="1" width="36.625" style="0" customWidth="1"/>
    <col min="2" max="9" width="12.625" style="0" customWidth="1"/>
    <col min="10" max="10" width="14.125" style="0" customWidth="1"/>
    <col min="11" max="13" width="12.625" style="0" customWidth="1"/>
    <col min="14" max="14" width="14.125" style="0" customWidth="1"/>
  </cols>
  <sheetData>
    <row r="1" spans="1:32" s="995" customFormat="1" ht="20.25" customHeight="1">
      <c r="A1" s="995" t="s">
        <v>1543</v>
      </c>
      <c r="N1" s="996" t="s">
        <v>2059</v>
      </c>
      <c r="AF1" s="996"/>
    </row>
    <row r="2" spans="1:11" ht="8.25" customHeight="1">
      <c r="A2" s="929"/>
      <c r="B2" s="929"/>
      <c r="C2" s="14"/>
      <c r="E2" s="929"/>
      <c r="H2" s="929"/>
      <c r="K2" s="929"/>
    </row>
    <row r="3" spans="1:14" s="997" customFormat="1" ht="20.25">
      <c r="A3" s="1195" t="s">
        <v>1734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</row>
    <row r="4" spans="1:14" s="581" customFormat="1" ht="15.75">
      <c r="A4" s="930"/>
      <c r="B4" s="930"/>
      <c r="C4" s="930"/>
      <c r="D4" s="930"/>
      <c r="E4" s="930"/>
      <c r="F4" s="930"/>
      <c r="G4" s="930"/>
      <c r="H4" s="930"/>
      <c r="I4" s="930"/>
      <c r="J4" s="930"/>
      <c r="K4" s="930"/>
      <c r="L4" s="930"/>
      <c r="M4" s="930"/>
      <c r="N4" s="930"/>
    </row>
    <row r="5" spans="1:14" ht="13.5" thickBot="1">
      <c r="A5" s="14"/>
      <c r="B5" s="929"/>
      <c r="C5" s="14"/>
      <c r="D5" s="14"/>
      <c r="E5" s="929"/>
      <c r="F5" s="14"/>
      <c r="G5" s="14"/>
      <c r="H5" s="929"/>
      <c r="I5" s="14"/>
      <c r="J5" s="14"/>
      <c r="K5" s="929"/>
      <c r="L5" s="14"/>
      <c r="M5" s="14"/>
      <c r="N5" s="931" t="s">
        <v>1545</v>
      </c>
    </row>
    <row r="6" spans="1:14" s="935" customFormat="1" ht="34.5" customHeight="1" thickTop="1">
      <c r="A6" s="1196" t="s">
        <v>1554</v>
      </c>
      <c r="B6" s="932" t="s">
        <v>1735</v>
      </c>
      <c r="C6" s="933"/>
      <c r="D6" s="934"/>
      <c r="E6" s="1025" t="s">
        <v>1763</v>
      </c>
      <c r="F6" s="1026"/>
      <c r="G6" s="1025"/>
      <c r="H6" s="1201" t="s">
        <v>1764</v>
      </c>
      <c r="I6" s="1202"/>
      <c r="J6" s="1203"/>
      <c r="K6" s="1198" t="s">
        <v>1736</v>
      </c>
      <c r="L6" s="1198"/>
      <c r="M6" s="1198"/>
      <c r="N6" s="1199"/>
    </row>
    <row r="7" spans="1:14" s="935" customFormat="1" ht="24" customHeight="1" thickBot="1">
      <c r="A7" s="1197"/>
      <c r="B7" s="936" t="s">
        <v>1556</v>
      </c>
      <c r="C7" s="937" t="s">
        <v>1737</v>
      </c>
      <c r="D7" s="938" t="s">
        <v>1738</v>
      </c>
      <c r="E7" s="939" t="s">
        <v>1556</v>
      </c>
      <c r="F7" s="937" t="s">
        <v>1737</v>
      </c>
      <c r="G7" s="940" t="s">
        <v>1738</v>
      </c>
      <c r="H7" s="936" t="s">
        <v>1556</v>
      </c>
      <c r="I7" s="937" t="s">
        <v>1737</v>
      </c>
      <c r="J7" s="941" t="s">
        <v>1738</v>
      </c>
      <c r="K7" s="939" t="s">
        <v>1556</v>
      </c>
      <c r="L7" s="937" t="s">
        <v>1737</v>
      </c>
      <c r="M7" s="937" t="s">
        <v>1738</v>
      </c>
      <c r="N7" s="942" t="s">
        <v>1739</v>
      </c>
    </row>
    <row r="8" spans="1:14" ht="18.75" customHeight="1" thickBot="1">
      <c r="A8" s="943"/>
      <c r="B8" s="944" t="s">
        <v>2074</v>
      </c>
      <c r="C8" s="945" t="s">
        <v>1740</v>
      </c>
      <c r="D8" s="946" t="s">
        <v>1741</v>
      </c>
      <c r="E8" s="947" t="s">
        <v>2074</v>
      </c>
      <c r="F8" s="945" t="s">
        <v>1740</v>
      </c>
      <c r="G8" s="948" t="s">
        <v>1741</v>
      </c>
      <c r="H8" s="944" t="s">
        <v>2074</v>
      </c>
      <c r="I8" s="945" t="s">
        <v>1740</v>
      </c>
      <c r="J8" s="949" t="s">
        <v>1741</v>
      </c>
      <c r="K8" s="947" t="s">
        <v>2074</v>
      </c>
      <c r="L8" s="945" t="s">
        <v>1740</v>
      </c>
      <c r="M8" s="945" t="s">
        <v>1741</v>
      </c>
      <c r="N8" s="950"/>
    </row>
    <row r="9" spans="1:14" s="135" customFormat="1" ht="22.5" customHeight="1" thickBot="1">
      <c r="A9" s="1033" t="s">
        <v>1742</v>
      </c>
      <c r="B9" s="1034">
        <v>5638498</v>
      </c>
      <c r="C9" s="1035">
        <f>5629102+1</f>
        <v>5629103</v>
      </c>
      <c r="D9" s="1036">
        <f>B9-C9</f>
        <v>9395</v>
      </c>
      <c r="E9" s="1037">
        <v>345829</v>
      </c>
      <c r="F9" s="1035">
        <v>45723</v>
      </c>
      <c r="G9" s="1038">
        <f>E9-F9</f>
        <v>300106</v>
      </c>
      <c r="H9" s="1034">
        <f>472000+70850</f>
        <v>542850</v>
      </c>
      <c r="I9" s="1035">
        <v>561486</v>
      </c>
      <c r="J9" s="1039">
        <f>H9-I9</f>
        <v>-18636</v>
      </c>
      <c r="K9" s="1037">
        <f aca="true" t="shared" si="0" ref="K9:L11">B9+H9+E9</f>
        <v>6527177</v>
      </c>
      <c r="L9" s="1040">
        <f t="shared" si="0"/>
        <v>6236312</v>
      </c>
      <c r="M9" s="1040">
        <f>K9-L9</f>
        <v>290865</v>
      </c>
      <c r="N9" s="1041">
        <f aca="true" t="shared" si="1" ref="N9:N37">L9*100/K9</f>
        <v>95.54378562125709</v>
      </c>
    </row>
    <row r="10" spans="1:14" ht="18.75" customHeight="1">
      <c r="A10" s="951" t="s">
        <v>1743</v>
      </c>
      <c r="B10" s="952">
        <v>33910</v>
      </c>
      <c r="C10" s="953">
        <v>33530</v>
      </c>
      <c r="D10" s="954">
        <f>B10-C10</f>
        <v>380</v>
      </c>
      <c r="E10" s="955">
        <v>785289</v>
      </c>
      <c r="F10" s="953">
        <v>70238</v>
      </c>
      <c r="G10" s="956">
        <f>E10-F10</f>
        <v>715051</v>
      </c>
      <c r="H10" s="952">
        <v>510310</v>
      </c>
      <c r="I10" s="953">
        <v>1299308</v>
      </c>
      <c r="J10" s="957">
        <f>H10-I10</f>
        <v>-788998</v>
      </c>
      <c r="K10" s="955">
        <f t="shared" si="0"/>
        <v>1329509</v>
      </c>
      <c r="L10" s="958">
        <f t="shared" si="0"/>
        <v>1403076</v>
      </c>
      <c r="M10" s="953">
        <f>K10-L10</f>
        <v>-73567</v>
      </c>
      <c r="N10" s="959">
        <f t="shared" si="1"/>
        <v>105.53339616354609</v>
      </c>
    </row>
    <row r="11" spans="1:14" ht="18.75" customHeight="1" thickBot="1">
      <c r="A11" s="960" t="s">
        <v>1744</v>
      </c>
      <c r="B11" s="961">
        <v>0</v>
      </c>
      <c r="C11" s="962">
        <v>0</v>
      </c>
      <c r="D11" s="963">
        <f>B11-C11</f>
        <v>0</v>
      </c>
      <c r="E11" s="964">
        <v>0</v>
      </c>
      <c r="F11" s="962">
        <v>0</v>
      </c>
      <c r="G11" s="956">
        <f>E11-F11</f>
        <v>0</v>
      </c>
      <c r="H11" s="961">
        <v>572</v>
      </c>
      <c r="I11" s="965">
        <v>863</v>
      </c>
      <c r="J11" s="966">
        <f>H11-I11</f>
        <v>-291</v>
      </c>
      <c r="K11" s="964">
        <f t="shared" si="0"/>
        <v>572</v>
      </c>
      <c r="L11" s="967">
        <f t="shared" si="0"/>
        <v>863</v>
      </c>
      <c r="M11" s="962">
        <f>K11-L11</f>
        <v>-291</v>
      </c>
      <c r="N11" s="968">
        <f t="shared" si="1"/>
        <v>150.87412587412587</v>
      </c>
    </row>
    <row r="12" spans="1:14" s="135" customFormat="1" ht="22.5" customHeight="1" thickBot="1">
      <c r="A12" s="1042" t="s">
        <v>1745</v>
      </c>
      <c r="B12" s="1043">
        <f aca="true" t="shared" si="2" ref="B12:M12">SUM(B10+B11)</f>
        <v>33910</v>
      </c>
      <c r="C12" s="1044">
        <f t="shared" si="2"/>
        <v>33530</v>
      </c>
      <c r="D12" s="1045">
        <f t="shared" si="2"/>
        <v>380</v>
      </c>
      <c r="E12" s="1046">
        <f t="shared" si="2"/>
        <v>785289</v>
      </c>
      <c r="F12" s="1044">
        <f t="shared" si="2"/>
        <v>70238</v>
      </c>
      <c r="G12" s="1047">
        <f t="shared" si="2"/>
        <v>715051</v>
      </c>
      <c r="H12" s="1043">
        <f t="shared" si="2"/>
        <v>510882</v>
      </c>
      <c r="I12" s="1044">
        <f t="shared" si="2"/>
        <v>1300171</v>
      </c>
      <c r="J12" s="1045">
        <f t="shared" si="2"/>
        <v>-789289</v>
      </c>
      <c r="K12" s="1046">
        <f t="shared" si="2"/>
        <v>1330081</v>
      </c>
      <c r="L12" s="1044">
        <f t="shared" si="2"/>
        <v>1403939</v>
      </c>
      <c r="M12" s="1044">
        <f t="shared" si="2"/>
        <v>-73858</v>
      </c>
      <c r="N12" s="1048">
        <f t="shared" si="1"/>
        <v>105.5528948988821</v>
      </c>
    </row>
    <row r="13" spans="1:14" ht="18.75" customHeight="1">
      <c r="A13" s="969" t="s">
        <v>1746</v>
      </c>
      <c r="B13" s="970">
        <v>40164</v>
      </c>
      <c r="C13" s="971">
        <v>40663</v>
      </c>
      <c r="D13" s="972">
        <f>B13-C13</f>
        <v>-499</v>
      </c>
      <c r="E13" s="973">
        <v>1670</v>
      </c>
      <c r="F13" s="971">
        <v>1743</v>
      </c>
      <c r="G13" s="974">
        <f>E13-F13</f>
        <v>-73</v>
      </c>
      <c r="H13" s="970">
        <v>8743</v>
      </c>
      <c r="I13" s="971">
        <v>13470</v>
      </c>
      <c r="J13" s="972">
        <f>H13-I13</f>
        <v>-4727</v>
      </c>
      <c r="K13" s="973">
        <f aca="true" t="shared" si="3" ref="K13:L15">B13+H13+E13</f>
        <v>50577</v>
      </c>
      <c r="L13" s="975">
        <f t="shared" si="3"/>
        <v>55876</v>
      </c>
      <c r="M13" s="971">
        <f>K13-L13</f>
        <v>-5299</v>
      </c>
      <c r="N13" s="976">
        <f t="shared" si="1"/>
        <v>110.47709433141547</v>
      </c>
    </row>
    <row r="14" spans="1:14" ht="18.75" customHeight="1">
      <c r="A14" s="951" t="s">
        <v>1747</v>
      </c>
      <c r="B14" s="952">
        <v>1245842</v>
      </c>
      <c r="C14" s="953">
        <v>1253529</v>
      </c>
      <c r="D14" s="954">
        <f>B14-C14</f>
        <v>-7687</v>
      </c>
      <c r="E14" s="955">
        <v>0</v>
      </c>
      <c r="F14" s="953">
        <v>1457</v>
      </c>
      <c r="G14" s="977">
        <f>E14-F14</f>
        <v>-1457</v>
      </c>
      <c r="H14" s="952">
        <v>28520</v>
      </c>
      <c r="I14" s="953">
        <v>176113</v>
      </c>
      <c r="J14" s="954">
        <f>H14-I14</f>
        <v>-147593</v>
      </c>
      <c r="K14" s="955">
        <f t="shared" si="3"/>
        <v>1274362</v>
      </c>
      <c r="L14" s="958">
        <f t="shared" si="3"/>
        <v>1431099</v>
      </c>
      <c r="M14" s="953">
        <f>K14-L14</f>
        <v>-156737</v>
      </c>
      <c r="N14" s="978">
        <f t="shared" si="1"/>
        <v>112.29925248869631</v>
      </c>
    </row>
    <row r="15" spans="1:14" ht="18.75" customHeight="1" thickBot="1">
      <c r="A15" s="960" t="s">
        <v>1433</v>
      </c>
      <c r="B15" s="961">
        <v>3503</v>
      </c>
      <c r="C15" s="962">
        <v>3484</v>
      </c>
      <c r="D15" s="963">
        <f>B15-C15</f>
        <v>19</v>
      </c>
      <c r="E15" s="964">
        <v>0</v>
      </c>
      <c r="F15" s="962">
        <v>0</v>
      </c>
      <c r="G15" s="956">
        <f>E15-F15</f>
        <v>0</v>
      </c>
      <c r="H15" s="961">
        <v>80</v>
      </c>
      <c r="I15" s="962">
        <v>380</v>
      </c>
      <c r="J15" s="963">
        <f>H15-I15</f>
        <v>-300</v>
      </c>
      <c r="K15" s="964">
        <f t="shared" si="3"/>
        <v>3583</v>
      </c>
      <c r="L15" s="967">
        <f t="shared" si="3"/>
        <v>3864</v>
      </c>
      <c r="M15" s="962">
        <f>K15-L15</f>
        <v>-281</v>
      </c>
      <c r="N15" s="979">
        <f t="shared" si="1"/>
        <v>107.84259000837287</v>
      </c>
    </row>
    <row r="16" spans="1:14" s="1050" customFormat="1" ht="22.5" customHeight="1" thickBot="1">
      <c r="A16" s="1042" t="s">
        <v>1748</v>
      </c>
      <c r="B16" s="1043">
        <f aca="true" t="shared" si="4" ref="B16:M16">SUM(B13:B15)</f>
        <v>1289509</v>
      </c>
      <c r="C16" s="1044">
        <f t="shared" si="4"/>
        <v>1297676</v>
      </c>
      <c r="D16" s="1045">
        <f t="shared" si="4"/>
        <v>-8167</v>
      </c>
      <c r="E16" s="1046">
        <f t="shared" si="4"/>
        <v>1670</v>
      </c>
      <c r="F16" s="1044">
        <f t="shared" si="4"/>
        <v>3200</v>
      </c>
      <c r="G16" s="1047">
        <f t="shared" si="4"/>
        <v>-1530</v>
      </c>
      <c r="H16" s="1043">
        <f t="shared" si="4"/>
        <v>37343</v>
      </c>
      <c r="I16" s="1044">
        <f t="shared" si="4"/>
        <v>189963</v>
      </c>
      <c r="J16" s="1045">
        <f t="shared" si="4"/>
        <v>-152620</v>
      </c>
      <c r="K16" s="1046">
        <f t="shared" si="4"/>
        <v>1328522</v>
      </c>
      <c r="L16" s="1044">
        <f t="shared" si="4"/>
        <v>1490839</v>
      </c>
      <c r="M16" s="1044">
        <f t="shared" si="4"/>
        <v>-162317</v>
      </c>
      <c r="N16" s="1049">
        <f t="shared" si="1"/>
        <v>112.21786315921001</v>
      </c>
    </row>
    <row r="17" spans="1:14" ht="18.75" customHeight="1">
      <c r="A17" s="969" t="s">
        <v>1749</v>
      </c>
      <c r="B17" s="970">
        <v>0</v>
      </c>
      <c r="C17" s="971">
        <v>0</v>
      </c>
      <c r="D17" s="972">
        <v>0</v>
      </c>
      <c r="E17" s="973">
        <v>0</v>
      </c>
      <c r="F17" s="971">
        <v>0</v>
      </c>
      <c r="G17" s="974">
        <v>0</v>
      </c>
      <c r="H17" s="970">
        <v>600</v>
      </c>
      <c r="I17" s="971">
        <v>1415</v>
      </c>
      <c r="J17" s="972">
        <f aca="true" t="shared" si="5" ref="J17:J24">H17-I17</f>
        <v>-815</v>
      </c>
      <c r="K17" s="973">
        <f aca="true" t="shared" si="6" ref="K17:L23">B17+H17+E17</f>
        <v>600</v>
      </c>
      <c r="L17" s="975">
        <f t="shared" si="6"/>
        <v>1415</v>
      </c>
      <c r="M17" s="971">
        <f aca="true" t="shared" si="7" ref="M17:M24">K17-L17</f>
        <v>-815</v>
      </c>
      <c r="N17" s="976">
        <f t="shared" si="1"/>
        <v>235.83333333333334</v>
      </c>
    </row>
    <row r="18" spans="1:14" ht="18.75" customHeight="1">
      <c r="A18" s="951" t="s">
        <v>1593</v>
      </c>
      <c r="B18" s="952">
        <v>0</v>
      </c>
      <c r="C18" s="953">
        <v>0</v>
      </c>
      <c r="D18" s="954">
        <v>0</v>
      </c>
      <c r="E18" s="955">
        <v>0</v>
      </c>
      <c r="F18" s="953">
        <v>0</v>
      </c>
      <c r="G18" s="977">
        <v>0</v>
      </c>
      <c r="H18" s="952">
        <v>515</v>
      </c>
      <c r="I18" s="953">
        <v>958</v>
      </c>
      <c r="J18" s="954">
        <f t="shared" si="5"/>
        <v>-443</v>
      </c>
      <c r="K18" s="955">
        <f t="shared" si="6"/>
        <v>515</v>
      </c>
      <c r="L18" s="958">
        <f t="shared" si="6"/>
        <v>958</v>
      </c>
      <c r="M18" s="953">
        <f t="shared" si="7"/>
        <v>-443</v>
      </c>
      <c r="N18" s="978">
        <f t="shared" si="1"/>
        <v>186.01941747572815</v>
      </c>
    </row>
    <row r="19" spans="1:14" ht="18.75" customHeight="1">
      <c r="A19" s="951" t="s">
        <v>1594</v>
      </c>
      <c r="B19" s="952">
        <v>0</v>
      </c>
      <c r="C19" s="953">
        <v>0</v>
      </c>
      <c r="D19" s="954">
        <v>0</v>
      </c>
      <c r="E19" s="955">
        <v>0</v>
      </c>
      <c r="F19" s="953">
        <v>0</v>
      </c>
      <c r="G19" s="977">
        <v>0</v>
      </c>
      <c r="H19" s="952">
        <v>100</v>
      </c>
      <c r="I19" s="953">
        <v>1014</v>
      </c>
      <c r="J19" s="954">
        <f t="shared" si="5"/>
        <v>-914</v>
      </c>
      <c r="K19" s="955">
        <f t="shared" si="6"/>
        <v>100</v>
      </c>
      <c r="L19" s="958">
        <f t="shared" si="6"/>
        <v>1014</v>
      </c>
      <c r="M19" s="953">
        <f t="shared" si="7"/>
        <v>-914</v>
      </c>
      <c r="N19" s="978">
        <f t="shared" si="1"/>
        <v>1014</v>
      </c>
    </row>
    <row r="20" spans="1:14" ht="18.75" customHeight="1">
      <c r="A20" s="951" t="s">
        <v>1595</v>
      </c>
      <c r="B20" s="952">
        <v>0</v>
      </c>
      <c r="C20" s="953">
        <v>0</v>
      </c>
      <c r="D20" s="954">
        <v>0</v>
      </c>
      <c r="E20" s="955">
        <v>0</v>
      </c>
      <c r="F20" s="953">
        <v>0</v>
      </c>
      <c r="G20" s="977">
        <v>0</v>
      </c>
      <c r="H20" s="952">
        <v>230</v>
      </c>
      <c r="I20" s="953">
        <v>569</v>
      </c>
      <c r="J20" s="954">
        <f t="shared" si="5"/>
        <v>-339</v>
      </c>
      <c r="K20" s="955">
        <f t="shared" si="6"/>
        <v>230</v>
      </c>
      <c r="L20" s="958">
        <f t="shared" si="6"/>
        <v>569</v>
      </c>
      <c r="M20" s="953">
        <f t="shared" si="7"/>
        <v>-339</v>
      </c>
      <c r="N20" s="978">
        <f t="shared" si="1"/>
        <v>247.3913043478261</v>
      </c>
    </row>
    <row r="21" spans="1:14" ht="18.75" customHeight="1">
      <c r="A21" s="951" t="s">
        <v>1750</v>
      </c>
      <c r="B21" s="952">
        <v>0</v>
      </c>
      <c r="C21" s="953">
        <v>0</v>
      </c>
      <c r="D21" s="954">
        <v>0</v>
      </c>
      <c r="E21" s="955">
        <v>0</v>
      </c>
      <c r="F21" s="953">
        <v>0</v>
      </c>
      <c r="G21" s="977">
        <v>0</v>
      </c>
      <c r="H21" s="952">
        <v>177</v>
      </c>
      <c r="I21" s="953">
        <v>500</v>
      </c>
      <c r="J21" s="954">
        <f t="shared" si="5"/>
        <v>-323</v>
      </c>
      <c r="K21" s="955">
        <f t="shared" si="6"/>
        <v>177</v>
      </c>
      <c r="L21" s="958">
        <f t="shared" si="6"/>
        <v>500</v>
      </c>
      <c r="M21" s="953">
        <f t="shared" si="7"/>
        <v>-323</v>
      </c>
      <c r="N21" s="978">
        <f t="shared" si="1"/>
        <v>282.4858757062147</v>
      </c>
    </row>
    <row r="22" spans="1:14" ht="18.75" customHeight="1">
      <c r="A22" s="951" t="s">
        <v>1597</v>
      </c>
      <c r="B22" s="952">
        <v>0</v>
      </c>
      <c r="C22" s="953">
        <v>0</v>
      </c>
      <c r="D22" s="954">
        <v>0</v>
      </c>
      <c r="E22" s="955">
        <v>0</v>
      </c>
      <c r="F22" s="953">
        <v>0</v>
      </c>
      <c r="G22" s="977">
        <v>0</v>
      </c>
      <c r="H22" s="952">
        <v>400</v>
      </c>
      <c r="I22" s="953">
        <v>503</v>
      </c>
      <c r="J22" s="954">
        <f t="shared" si="5"/>
        <v>-103</v>
      </c>
      <c r="K22" s="955">
        <f t="shared" si="6"/>
        <v>400</v>
      </c>
      <c r="L22" s="958">
        <f t="shared" si="6"/>
        <v>503</v>
      </c>
      <c r="M22" s="953">
        <f t="shared" si="7"/>
        <v>-103</v>
      </c>
      <c r="N22" s="978">
        <f t="shared" si="1"/>
        <v>125.75</v>
      </c>
    </row>
    <row r="23" spans="1:14" ht="18.75" customHeight="1">
      <c r="A23" s="951" t="s">
        <v>1565</v>
      </c>
      <c r="B23" s="952">
        <v>0</v>
      </c>
      <c r="C23" s="953">
        <v>0</v>
      </c>
      <c r="D23" s="954">
        <v>0</v>
      </c>
      <c r="E23" s="955">
        <v>0</v>
      </c>
      <c r="F23" s="953">
        <v>0</v>
      </c>
      <c r="G23" s="977">
        <v>0</v>
      </c>
      <c r="H23" s="952">
        <v>495</v>
      </c>
      <c r="I23" s="953">
        <v>1636</v>
      </c>
      <c r="J23" s="954">
        <f t="shared" si="5"/>
        <v>-1141</v>
      </c>
      <c r="K23" s="955">
        <f t="shared" si="6"/>
        <v>495</v>
      </c>
      <c r="L23" s="958">
        <f t="shared" si="6"/>
        <v>1636</v>
      </c>
      <c r="M23" s="953">
        <f t="shared" si="7"/>
        <v>-1141</v>
      </c>
      <c r="N23" s="978">
        <f t="shared" si="1"/>
        <v>330.5050505050505</v>
      </c>
    </row>
    <row r="24" spans="1:14" ht="18.75" customHeight="1" thickBot="1">
      <c r="A24" s="960" t="s">
        <v>1566</v>
      </c>
      <c r="B24" s="961">
        <v>0</v>
      </c>
      <c r="C24" s="962">
        <v>0</v>
      </c>
      <c r="D24" s="963">
        <v>0</v>
      </c>
      <c r="E24" s="964">
        <v>0</v>
      </c>
      <c r="F24" s="962">
        <v>0</v>
      </c>
      <c r="G24" s="956">
        <v>0</v>
      </c>
      <c r="H24" s="961">
        <v>262</v>
      </c>
      <c r="I24" s="962">
        <v>936</v>
      </c>
      <c r="J24" s="963">
        <f t="shared" si="5"/>
        <v>-674</v>
      </c>
      <c r="K24" s="964">
        <f>B24+H24</f>
        <v>262</v>
      </c>
      <c r="L24" s="967">
        <f>C24+I24+F24</f>
        <v>936</v>
      </c>
      <c r="M24" s="962">
        <f t="shared" si="7"/>
        <v>-674</v>
      </c>
      <c r="N24" s="979">
        <f t="shared" si="1"/>
        <v>357.2519083969466</v>
      </c>
    </row>
    <row r="25" spans="1:14" s="1050" customFormat="1" ht="22.5" customHeight="1" thickBot="1">
      <c r="A25" s="1042" t="s">
        <v>1751</v>
      </c>
      <c r="B25" s="1043">
        <f aca="true" t="shared" si="8" ref="B25:G25">SUM(B17:B24)</f>
        <v>0</v>
      </c>
      <c r="C25" s="1044">
        <f t="shared" si="8"/>
        <v>0</v>
      </c>
      <c r="D25" s="1045">
        <f t="shared" si="8"/>
        <v>0</v>
      </c>
      <c r="E25" s="1046">
        <f t="shared" si="8"/>
        <v>0</v>
      </c>
      <c r="F25" s="1044">
        <f t="shared" si="8"/>
        <v>0</v>
      </c>
      <c r="G25" s="1047">
        <f t="shared" si="8"/>
        <v>0</v>
      </c>
      <c r="H25" s="1043">
        <f aca="true" t="shared" si="9" ref="H25:M25">SUM(H17:H24)</f>
        <v>2779</v>
      </c>
      <c r="I25" s="1044">
        <f t="shared" si="9"/>
        <v>7531</v>
      </c>
      <c r="J25" s="1045">
        <f t="shared" si="9"/>
        <v>-4752</v>
      </c>
      <c r="K25" s="1046">
        <f t="shared" si="9"/>
        <v>2779</v>
      </c>
      <c r="L25" s="1044">
        <f t="shared" si="9"/>
        <v>7531</v>
      </c>
      <c r="M25" s="1044">
        <f t="shared" si="9"/>
        <v>-4752</v>
      </c>
      <c r="N25" s="1049">
        <f t="shared" si="1"/>
        <v>270.996761424973</v>
      </c>
    </row>
    <row r="26" spans="1:14" ht="18.75" customHeight="1">
      <c r="A26" s="980" t="s">
        <v>1762</v>
      </c>
      <c r="B26" s="981">
        <v>16185</v>
      </c>
      <c r="C26" s="982">
        <v>16145</v>
      </c>
      <c r="D26" s="983">
        <f aca="true" t="shared" si="10" ref="D26:D33">B26-C26</f>
        <v>40</v>
      </c>
      <c r="E26" s="984">
        <v>4055</v>
      </c>
      <c r="F26" s="982">
        <v>0</v>
      </c>
      <c r="G26" s="985">
        <f aca="true" t="shared" si="11" ref="G26:G33">E26-F26</f>
        <v>4055</v>
      </c>
      <c r="H26" s="981">
        <v>1300</v>
      </c>
      <c r="I26" s="982">
        <v>21879</v>
      </c>
      <c r="J26" s="986">
        <f aca="true" t="shared" si="12" ref="J26:J33">H26-I26</f>
        <v>-20579</v>
      </c>
      <c r="K26" s="984">
        <f aca="true" t="shared" si="13" ref="K26:L33">B26+H26+E26</f>
        <v>21540</v>
      </c>
      <c r="L26" s="987">
        <f t="shared" si="13"/>
        <v>38024</v>
      </c>
      <c r="M26" s="982">
        <f aca="true" t="shared" si="14" ref="M26:M33">K26-L26</f>
        <v>-16484</v>
      </c>
      <c r="N26" s="988">
        <f t="shared" si="1"/>
        <v>176.52739090064995</v>
      </c>
    </row>
    <row r="27" spans="1:14" ht="18.75" customHeight="1">
      <c r="A27" s="951" t="s">
        <v>1752</v>
      </c>
      <c r="B27" s="952">
        <v>11919</v>
      </c>
      <c r="C27" s="953">
        <v>11787</v>
      </c>
      <c r="D27" s="954">
        <f t="shared" si="10"/>
        <v>132</v>
      </c>
      <c r="E27" s="955">
        <v>0</v>
      </c>
      <c r="F27" s="953">
        <v>0</v>
      </c>
      <c r="G27" s="977">
        <f t="shared" si="11"/>
        <v>0</v>
      </c>
      <c r="H27" s="952">
        <v>320</v>
      </c>
      <c r="I27" s="953">
        <v>3352</v>
      </c>
      <c r="J27" s="957">
        <f t="shared" si="12"/>
        <v>-3032</v>
      </c>
      <c r="K27" s="955">
        <f t="shared" si="13"/>
        <v>12239</v>
      </c>
      <c r="L27" s="958">
        <f t="shared" si="13"/>
        <v>15139</v>
      </c>
      <c r="M27" s="953">
        <f t="shared" si="14"/>
        <v>-2900</v>
      </c>
      <c r="N27" s="959">
        <f t="shared" si="1"/>
        <v>123.69474630280251</v>
      </c>
    </row>
    <row r="28" spans="1:14" ht="18.75" customHeight="1">
      <c r="A28" s="951" t="s">
        <v>1603</v>
      </c>
      <c r="B28" s="952">
        <v>16781</v>
      </c>
      <c r="C28" s="953">
        <v>16823</v>
      </c>
      <c r="D28" s="954">
        <f t="shared" si="10"/>
        <v>-42</v>
      </c>
      <c r="E28" s="955">
        <v>2745</v>
      </c>
      <c r="F28" s="953">
        <v>0</v>
      </c>
      <c r="G28" s="977">
        <f t="shared" si="11"/>
        <v>2745</v>
      </c>
      <c r="H28" s="952">
        <v>1550</v>
      </c>
      <c r="I28" s="953">
        <v>3163</v>
      </c>
      <c r="J28" s="957">
        <f t="shared" si="12"/>
        <v>-1613</v>
      </c>
      <c r="K28" s="955">
        <f t="shared" si="13"/>
        <v>21076</v>
      </c>
      <c r="L28" s="958">
        <f t="shared" si="13"/>
        <v>19986</v>
      </c>
      <c r="M28" s="953">
        <f t="shared" si="14"/>
        <v>1090</v>
      </c>
      <c r="N28" s="959">
        <f t="shared" si="1"/>
        <v>94.82824065287531</v>
      </c>
    </row>
    <row r="29" spans="1:14" ht="18.75" customHeight="1">
      <c r="A29" s="951" t="s">
        <v>1753</v>
      </c>
      <c r="B29" s="952">
        <v>4659</v>
      </c>
      <c r="C29" s="953">
        <v>4750</v>
      </c>
      <c r="D29" s="954">
        <f t="shared" si="10"/>
        <v>-91</v>
      </c>
      <c r="E29" s="955">
        <v>0</v>
      </c>
      <c r="F29" s="953">
        <v>0</v>
      </c>
      <c r="G29" s="977">
        <f t="shared" si="11"/>
        <v>0</v>
      </c>
      <c r="H29" s="952">
        <v>50</v>
      </c>
      <c r="I29" s="953">
        <v>1102</v>
      </c>
      <c r="J29" s="957">
        <f t="shared" si="12"/>
        <v>-1052</v>
      </c>
      <c r="K29" s="955">
        <f t="shared" si="13"/>
        <v>4709</v>
      </c>
      <c r="L29" s="958">
        <f t="shared" si="13"/>
        <v>5852</v>
      </c>
      <c r="M29" s="953">
        <f t="shared" si="14"/>
        <v>-1143</v>
      </c>
      <c r="N29" s="959">
        <f t="shared" si="1"/>
        <v>124.27266935655129</v>
      </c>
    </row>
    <row r="30" spans="1:14" ht="18.75" customHeight="1">
      <c r="A30" s="951" t="s">
        <v>1754</v>
      </c>
      <c r="B30" s="952">
        <v>5770</v>
      </c>
      <c r="C30" s="953">
        <v>5067</v>
      </c>
      <c r="D30" s="954">
        <f t="shared" si="10"/>
        <v>703</v>
      </c>
      <c r="E30" s="955">
        <v>0</v>
      </c>
      <c r="F30" s="953">
        <v>0</v>
      </c>
      <c r="G30" s="977">
        <f t="shared" si="11"/>
        <v>0</v>
      </c>
      <c r="H30" s="952">
        <v>65</v>
      </c>
      <c r="I30" s="953">
        <v>972</v>
      </c>
      <c r="J30" s="957">
        <f t="shared" si="12"/>
        <v>-907</v>
      </c>
      <c r="K30" s="955">
        <f t="shared" si="13"/>
        <v>5835</v>
      </c>
      <c r="L30" s="958">
        <f t="shared" si="13"/>
        <v>6039</v>
      </c>
      <c r="M30" s="953">
        <f t="shared" si="14"/>
        <v>-204</v>
      </c>
      <c r="N30" s="959">
        <f t="shared" si="1"/>
        <v>103.4961439588689</v>
      </c>
    </row>
    <row r="31" spans="1:14" ht="18.75" customHeight="1">
      <c r="A31" s="951" t="s">
        <v>140</v>
      </c>
      <c r="B31" s="952">
        <v>2920</v>
      </c>
      <c r="C31" s="953">
        <v>2882</v>
      </c>
      <c r="D31" s="954">
        <f t="shared" si="10"/>
        <v>38</v>
      </c>
      <c r="E31" s="955">
        <v>0</v>
      </c>
      <c r="F31" s="953">
        <v>0</v>
      </c>
      <c r="G31" s="977">
        <f t="shared" si="11"/>
        <v>0</v>
      </c>
      <c r="H31" s="952">
        <v>21</v>
      </c>
      <c r="I31" s="953">
        <v>751</v>
      </c>
      <c r="J31" s="957">
        <f t="shared" si="12"/>
        <v>-730</v>
      </c>
      <c r="K31" s="955">
        <f t="shared" si="13"/>
        <v>2941</v>
      </c>
      <c r="L31" s="958">
        <f t="shared" si="13"/>
        <v>3633</v>
      </c>
      <c r="M31" s="953">
        <f t="shared" si="14"/>
        <v>-692</v>
      </c>
      <c r="N31" s="959">
        <f t="shared" si="1"/>
        <v>123.52941176470588</v>
      </c>
    </row>
    <row r="32" spans="1:14" ht="18.75" customHeight="1">
      <c r="A32" s="951" t="s">
        <v>838</v>
      </c>
      <c r="B32" s="952">
        <v>5727</v>
      </c>
      <c r="C32" s="953">
        <v>5582</v>
      </c>
      <c r="D32" s="954">
        <f t="shared" si="10"/>
        <v>145</v>
      </c>
      <c r="E32" s="955">
        <v>0</v>
      </c>
      <c r="F32" s="953">
        <v>484</v>
      </c>
      <c r="G32" s="977">
        <f t="shared" si="11"/>
        <v>-484</v>
      </c>
      <c r="H32" s="952">
        <v>4800</v>
      </c>
      <c r="I32" s="953">
        <v>10223</v>
      </c>
      <c r="J32" s="957">
        <f t="shared" si="12"/>
        <v>-5423</v>
      </c>
      <c r="K32" s="955">
        <f t="shared" si="13"/>
        <v>10527</v>
      </c>
      <c r="L32" s="958">
        <f t="shared" si="13"/>
        <v>16289</v>
      </c>
      <c r="M32" s="953">
        <f t="shared" si="14"/>
        <v>-5762</v>
      </c>
      <c r="N32" s="959">
        <f t="shared" si="1"/>
        <v>154.73544219625725</v>
      </c>
    </row>
    <row r="33" spans="1:14" ht="18.75" customHeight="1" thickBot="1">
      <c r="A33" s="960" t="s">
        <v>2209</v>
      </c>
      <c r="B33" s="961">
        <v>0</v>
      </c>
      <c r="C33" s="962">
        <v>0</v>
      </c>
      <c r="D33" s="963">
        <f t="shared" si="10"/>
        <v>0</v>
      </c>
      <c r="E33" s="964">
        <v>0</v>
      </c>
      <c r="F33" s="962">
        <v>0</v>
      </c>
      <c r="G33" s="956">
        <f t="shared" si="11"/>
        <v>0</v>
      </c>
      <c r="H33" s="961">
        <v>200</v>
      </c>
      <c r="I33" s="962">
        <v>394</v>
      </c>
      <c r="J33" s="966">
        <f t="shared" si="12"/>
        <v>-194</v>
      </c>
      <c r="K33" s="964">
        <f t="shared" si="13"/>
        <v>200</v>
      </c>
      <c r="L33" s="967">
        <f t="shared" si="13"/>
        <v>394</v>
      </c>
      <c r="M33" s="962">
        <f t="shared" si="14"/>
        <v>-194</v>
      </c>
      <c r="N33" s="968">
        <f t="shared" si="1"/>
        <v>197</v>
      </c>
    </row>
    <row r="34" spans="1:14" s="135" customFormat="1" ht="22.5" customHeight="1" thickBot="1">
      <c r="A34" s="1042" t="s">
        <v>978</v>
      </c>
      <c r="B34" s="1043">
        <f aca="true" t="shared" si="15" ref="B34:M34">SUM(B26:B33)</f>
        <v>63961</v>
      </c>
      <c r="C34" s="1044">
        <f t="shared" si="15"/>
        <v>63036</v>
      </c>
      <c r="D34" s="1045">
        <f t="shared" si="15"/>
        <v>925</v>
      </c>
      <c r="E34" s="1046">
        <f t="shared" si="15"/>
        <v>6800</v>
      </c>
      <c r="F34" s="1044">
        <f t="shared" si="15"/>
        <v>484</v>
      </c>
      <c r="G34" s="1047">
        <f t="shared" si="15"/>
        <v>6316</v>
      </c>
      <c r="H34" s="1043">
        <f t="shared" si="15"/>
        <v>8306</v>
      </c>
      <c r="I34" s="1044">
        <f t="shared" si="15"/>
        <v>41836</v>
      </c>
      <c r="J34" s="1051">
        <f t="shared" si="15"/>
        <v>-33530</v>
      </c>
      <c r="K34" s="1046">
        <f t="shared" si="15"/>
        <v>79067</v>
      </c>
      <c r="L34" s="1044">
        <f t="shared" si="15"/>
        <v>105356</v>
      </c>
      <c r="M34" s="1044">
        <f t="shared" si="15"/>
        <v>-26289</v>
      </c>
      <c r="N34" s="1048">
        <f t="shared" si="1"/>
        <v>133.24901665675947</v>
      </c>
    </row>
    <row r="35" spans="1:14" s="1050" customFormat="1" ht="22.5" customHeight="1" thickBot="1">
      <c r="A35" s="1042" t="s">
        <v>1844</v>
      </c>
      <c r="B35" s="1043">
        <v>0</v>
      </c>
      <c r="C35" s="1052">
        <v>0</v>
      </c>
      <c r="D35" s="1053">
        <f>B35-C35</f>
        <v>0</v>
      </c>
      <c r="E35" s="1046">
        <v>1105</v>
      </c>
      <c r="F35" s="1052">
        <v>0</v>
      </c>
      <c r="G35" s="1054">
        <f>E35-F35</f>
        <v>1105</v>
      </c>
      <c r="H35" s="1043">
        <v>2800</v>
      </c>
      <c r="I35" s="1052">
        <v>4655</v>
      </c>
      <c r="J35" s="1055">
        <f>H35-I35</f>
        <v>-1855</v>
      </c>
      <c r="K35" s="1046">
        <f>B35+H35+E35</f>
        <v>3905</v>
      </c>
      <c r="L35" s="1044">
        <f>SUM(C35+I35)</f>
        <v>4655</v>
      </c>
      <c r="M35" s="1052">
        <f>K35-L35</f>
        <v>-750</v>
      </c>
      <c r="N35" s="1048">
        <f t="shared" si="1"/>
        <v>119.20614596670934</v>
      </c>
    </row>
    <row r="36" spans="1:14" s="1050" customFormat="1" ht="22.5" customHeight="1">
      <c r="A36" s="1056" t="s">
        <v>1755</v>
      </c>
      <c r="B36" s="1057">
        <v>400803</v>
      </c>
      <c r="C36" s="1058"/>
      <c r="D36" s="1059"/>
      <c r="E36" s="1060">
        <v>0</v>
      </c>
      <c r="F36" s="1061"/>
      <c r="G36" s="1062"/>
      <c r="H36" s="1057"/>
      <c r="I36" s="1058"/>
      <c r="J36" s="1062"/>
      <c r="K36" s="1057">
        <v>400803</v>
      </c>
      <c r="L36" s="1063"/>
      <c r="M36" s="1058"/>
      <c r="N36" s="1064"/>
    </row>
    <row r="37" spans="1:14" s="581" customFormat="1" ht="27.75" customHeight="1" thickBot="1">
      <c r="A37" s="989" t="s">
        <v>1756</v>
      </c>
      <c r="B37" s="990">
        <f>SUM(B9+B12+B16+B25+B34+B35+B36)</f>
        <v>7426681</v>
      </c>
      <c r="C37" s="990">
        <f aca="true" t="shared" si="16" ref="C37:L37">SUM(C9+C12+C16+C25+C34+C35)</f>
        <v>7023345</v>
      </c>
      <c r="D37" s="1031">
        <f t="shared" si="16"/>
        <v>2533</v>
      </c>
      <c r="E37" s="1030">
        <f>SUM(E9+E12+E16+E25+E34+E35+E36)</f>
        <v>1140693</v>
      </c>
      <c r="F37" s="990">
        <f t="shared" si="16"/>
        <v>119645</v>
      </c>
      <c r="G37" s="1029">
        <f t="shared" si="16"/>
        <v>1021048</v>
      </c>
      <c r="H37" s="1028">
        <f t="shared" si="16"/>
        <v>1104960</v>
      </c>
      <c r="I37" s="990">
        <f t="shared" si="16"/>
        <v>2105642</v>
      </c>
      <c r="J37" s="1029">
        <f t="shared" si="16"/>
        <v>-1000682</v>
      </c>
      <c r="K37" s="1028">
        <f>SUM(K9+K12+K16+K25+K34+K35+K36)</f>
        <v>9672334</v>
      </c>
      <c r="L37" s="990">
        <f t="shared" si="16"/>
        <v>9248632</v>
      </c>
      <c r="M37" s="1032">
        <f>K37-L37</f>
        <v>423702</v>
      </c>
      <c r="N37" s="1027">
        <f t="shared" si="1"/>
        <v>95.61944407626949</v>
      </c>
    </row>
    <row r="38" spans="1:14" ht="13.5" thickTop="1">
      <c r="A38" s="564"/>
      <c r="B38" s="565"/>
      <c r="C38" s="991"/>
      <c r="D38" s="991"/>
      <c r="E38" s="565"/>
      <c r="F38" s="991"/>
      <c r="G38" s="991"/>
      <c r="H38" s="565"/>
      <c r="I38" s="991"/>
      <c r="J38" s="991"/>
      <c r="K38" s="565"/>
      <c r="L38" s="565"/>
      <c r="M38" s="565"/>
      <c r="N38" s="992"/>
    </row>
    <row r="39" spans="1:34" s="581" customFormat="1" ht="15">
      <c r="A39" s="1022" t="s">
        <v>678</v>
      </c>
      <c r="C39" s="1022"/>
      <c r="D39" s="1022"/>
      <c r="E39" s="1022"/>
      <c r="F39" s="1022"/>
      <c r="G39" s="1023" t="s">
        <v>1761</v>
      </c>
      <c r="H39" s="1023"/>
      <c r="I39" s="1023"/>
      <c r="J39" s="1023"/>
      <c r="K39" s="1023"/>
      <c r="L39" s="1023"/>
      <c r="M39" s="1200" t="s">
        <v>1757</v>
      </c>
      <c r="N39" s="1200"/>
      <c r="O39" s="1023"/>
      <c r="P39" s="1023"/>
      <c r="Q39" s="1023"/>
      <c r="R39" s="1023"/>
      <c r="AG39" s="1024"/>
      <c r="AH39" s="1024"/>
    </row>
    <row r="41" ht="12.75">
      <c r="A41" s="993"/>
    </row>
    <row r="42" ht="12.75">
      <c r="H42" s="994"/>
    </row>
  </sheetData>
  <mergeCells count="5">
    <mergeCell ref="A3:N3"/>
    <mergeCell ref="A6:A7"/>
    <mergeCell ref="K6:N6"/>
    <mergeCell ref="M39:N39"/>
    <mergeCell ref="H6:J6"/>
  </mergeCells>
  <printOptions horizontalCentered="1"/>
  <pageMargins left="0.5905511811023623" right="0.5905511811023623" top="0.984251968503937" bottom="0.984251968503937" header="0.7086614173228347" footer="0.31496062992125984"/>
  <pageSetup fitToHeight="1" fitToWidth="1" horizontalDpi="600" verticalDpi="600" orientation="landscape" paperSize="9" scale="60" r:id="rId1"/>
  <headerFooter alignWithMargins="0">
    <oddFooter>&amp;C&amp;13&amp;P+115&amp;12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4"/>
  <sheetViews>
    <sheetView zoomScale="85" zoomScaleNormal="85" workbookViewId="0" topLeftCell="A25">
      <selection activeCell="A4" sqref="A4:V4"/>
    </sheetView>
  </sheetViews>
  <sheetFormatPr defaultColWidth="9.00390625" defaultRowHeight="12.75"/>
  <cols>
    <col min="1" max="1" width="26.375" style="0" customWidth="1"/>
    <col min="2" max="2" width="13.75390625" style="0" customWidth="1"/>
    <col min="3" max="3" width="13.875" style="0" customWidth="1"/>
    <col min="4" max="4" width="15.75390625" style="0" customWidth="1"/>
    <col min="5" max="5" width="13.75390625" style="0" customWidth="1"/>
    <col min="6" max="6" width="13.875" style="0" customWidth="1"/>
    <col min="7" max="7" width="15.625" style="0" customWidth="1"/>
    <col min="8" max="8" width="13.875" style="0" customWidth="1"/>
    <col min="9" max="10" width="13.75390625" style="0" customWidth="1"/>
    <col min="11" max="11" width="13.875" style="0" customWidth="1"/>
    <col min="12" max="12" width="13.75390625" style="0" customWidth="1"/>
    <col min="13" max="13" width="15.625" style="0" customWidth="1"/>
    <col min="14" max="15" width="13.75390625" style="0" customWidth="1"/>
    <col min="16" max="16" width="15.625" style="0" customWidth="1"/>
    <col min="17" max="21" width="13.75390625" style="0" customWidth="1"/>
    <col min="22" max="22" width="15.625" style="139" customWidth="1"/>
  </cols>
  <sheetData>
    <row r="2" spans="1:22" s="484" customFormat="1" ht="20.25" customHeight="1">
      <c r="A2" s="484" t="s">
        <v>1543</v>
      </c>
      <c r="N2" s="485"/>
      <c r="U2" s="1306" t="s">
        <v>679</v>
      </c>
      <c r="V2" s="1306"/>
    </row>
    <row r="4" spans="1:22" s="486" customFormat="1" ht="21.75" customHeight="1">
      <c r="A4" s="1307" t="s">
        <v>786</v>
      </c>
      <c r="B4" s="1307"/>
      <c r="C4" s="1307"/>
      <c r="D4" s="1307"/>
      <c r="E4" s="1307"/>
      <c r="F4" s="1307"/>
      <c r="G4" s="1307"/>
      <c r="H4" s="1307"/>
      <c r="I4" s="1307"/>
      <c r="J4" s="1307"/>
      <c r="K4" s="1307"/>
      <c r="L4" s="1307"/>
      <c r="M4" s="1307"/>
      <c r="N4" s="1307"/>
      <c r="O4" s="1307"/>
      <c r="P4" s="1307"/>
      <c r="Q4" s="1307"/>
      <c r="R4" s="1307"/>
      <c r="S4" s="1307"/>
      <c r="T4" s="1307"/>
      <c r="U4" s="1307"/>
      <c r="V4" s="1307"/>
    </row>
    <row r="5" spans="1:22" ht="21.75" customHeight="1" thickBot="1">
      <c r="A5" s="14"/>
      <c r="P5" s="362"/>
      <c r="V5" s="573" t="s">
        <v>1545</v>
      </c>
    </row>
    <row r="6" spans="1:22" s="367" customFormat="1" ht="33" customHeight="1" thickBot="1">
      <c r="A6" s="1308" t="s">
        <v>1591</v>
      </c>
      <c r="B6" s="1310" t="s">
        <v>787</v>
      </c>
      <c r="C6" s="1311"/>
      <c r="D6" s="1312"/>
      <c r="E6" s="1310" t="s">
        <v>1547</v>
      </c>
      <c r="F6" s="1311"/>
      <c r="G6" s="1312"/>
      <c r="H6" s="487" t="s">
        <v>1548</v>
      </c>
      <c r="I6" s="488"/>
      <c r="J6" s="489"/>
      <c r="K6" s="487" t="s">
        <v>1549</v>
      </c>
      <c r="L6" s="488"/>
      <c r="M6" s="489"/>
      <c r="N6" s="1310" t="s">
        <v>788</v>
      </c>
      <c r="O6" s="1311"/>
      <c r="P6" s="1312"/>
      <c r="Q6" s="1310" t="s">
        <v>1551</v>
      </c>
      <c r="R6" s="1311"/>
      <c r="S6" s="1313"/>
      <c r="T6" s="1311" t="s">
        <v>789</v>
      </c>
      <c r="U6" s="1311"/>
      <c r="V6" s="1312"/>
    </row>
    <row r="7" spans="1:22" ht="33" customHeight="1" thickBot="1">
      <c r="A7" s="1309"/>
      <c r="B7" s="490" t="s">
        <v>1555</v>
      </c>
      <c r="C7" s="491" t="s">
        <v>1556</v>
      </c>
      <c r="D7" s="492" t="s">
        <v>1557</v>
      </c>
      <c r="E7" s="490" t="s">
        <v>1555</v>
      </c>
      <c r="F7" s="491" t="s">
        <v>1556</v>
      </c>
      <c r="G7" s="492" t="s">
        <v>1557</v>
      </c>
      <c r="H7" s="490" t="s">
        <v>1555</v>
      </c>
      <c r="I7" s="491" t="s">
        <v>1556</v>
      </c>
      <c r="J7" s="492" t="s">
        <v>1557</v>
      </c>
      <c r="K7" s="490" t="s">
        <v>1555</v>
      </c>
      <c r="L7" s="491" t="s">
        <v>1556</v>
      </c>
      <c r="M7" s="492" t="s">
        <v>1557</v>
      </c>
      <c r="N7" s="490" t="s">
        <v>1555</v>
      </c>
      <c r="O7" s="493" t="s">
        <v>1556</v>
      </c>
      <c r="P7" s="492" t="s">
        <v>1557</v>
      </c>
      <c r="Q7" s="494" t="s">
        <v>1555</v>
      </c>
      <c r="R7" s="495" t="s">
        <v>1556</v>
      </c>
      <c r="S7" s="496" t="s">
        <v>1557</v>
      </c>
      <c r="T7" s="497" t="s">
        <v>1555</v>
      </c>
      <c r="U7" s="495" t="s">
        <v>1556</v>
      </c>
      <c r="V7" s="498" t="s">
        <v>1557</v>
      </c>
    </row>
    <row r="8" spans="1:22" ht="33" customHeight="1">
      <c r="A8" s="499" t="s">
        <v>790</v>
      </c>
      <c r="B8" s="500">
        <v>413976</v>
      </c>
      <c r="C8" s="501">
        <v>423545</v>
      </c>
      <c r="D8" s="502">
        <f>423545+1</f>
        <v>423546</v>
      </c>
      <c r="E8" s="500">
        <v>142323</v>
      </c>
      <c r="F8" s="501">
        <v>145574</v>
      </c>
      <c r="G8" s="502">
        <v>145574</v>
      </c>
      <c r="H8" s="500">
        <v>8064</v>
      </c>
      <c r="I8" s="501">
        <v>8245</v>
      </c>
      <c r="J8" s="502">
        <v>8245</v>
      </c>
      <c r="K8" s="500">
        <v>50950</v>
      </c>
      <c r="L8" s="501">
        <f>88557-819</f>
        <v>87738</v>
      </c>
      <c r="M8" s="503">
        <f>88554.67-819</f>
        <v>87735.67</v>
      </c>
      <c r="N8" s="504">
        <v>82260</v>
      </c>
      <c r="O8" s="501">
        <v>109120</v>
      </c>
      <c r="P8" s="505">
        <v>109084.35</v>
      </c>
      <c r="Q8" s="506">
        <v>0</v>
      </c>
      <c r="R8" s="507">
        <v>0</v>
      </c>
      <c r="S8" s="508">
        <v>0</v>
      </c>
      <c r="T8" s="509">
        <f aca="true" t="shared" si="0" ref="T8:V21">B8+E8+H8+K8+N8+Q8</f>
        <v>697573</v>
      </c>
      <c r="U8" s="501">
        <f t="shared" si="0"/>
        <v>774222</v>
      </c>
      <c r="V8" s="503">
        <f t="shared" si="0"/>
        <v>774185.02</v>
      </c>
    </row>
    <row r="9" spans="1:22" ht="33" customHeight="1">
      <c r="A9" s="499" t="s">
        <v>663</v>
      </c>
      <c r="B9" s="510">
        <v>464001</v>
      </c>
      <c r="C9" s="511">
        <v>470686</v>
      </c>
      <c r="D9" s="512">
        <v>470686</v>
      </c>
      <c r="E9" s="510">
        <v>159320</v>
      </c>
      <c r="F9" s="511">
        <v>161379</v>
      </c>
      <c r="G9" s="512">
        <v>161379</v>
      </c>
      <c r="H9" s="510">
        <v>9044</v>
      </c>
      <c r="I9" s="511">
        <v>9165</v>
      </c>
      <c r="J9" s="512">
        <v>9165</v>
      </c>
      <c r="K9" s="510">
        <v>61740</v>
      </c>
      <c r="L9" s="511">
        <f>82193-1704</f>
        <v>80489</v>
      </c>
      <c r="M9" s="513">
        <f>89736.48-1699.98</f>
        <v>88036.5</v>
      </c>
      <c r="N9" s="514">
        <v>105320</v>
      </c>
      <c r="O9" s="515">
        <v>149169</v>
      </c>
      <c r="P9" s="516">
        <v>150073.78</v>
      </c>
      <c r="Q9" s="517">
        <v>0</v>
      </c>
      <c r="R9" s="518">
        <v>0</v>
      </c>
      <c r="S9" s="519">
        <v>0</v>
      </c>
      <c r="T9" s="520">
        <f t="shared" si="0"/>
        <v>799425</v>
      </c>
      <c r="U9" s="515">
        <f t="shared" si="0"/>
        <v>870888</v>
      </c>
      <c r="V9" s="513">
        <f t="shared" si="0"/>
        <v>879340.28</v>
      </c>
    </row>
    <row r="10" spans="1:22" ht="33" customHeight="1">
      <c r="A10" s="499" t="s">
        <v>664</v>
      </c>
      <c r="B10" s="510">
        <v>295852</v>
      </c>
      <c r="C10" s="511">
        <v>300814</v>
      </c>
      <c r="D10" s="512">
        <v>300813</v>
      </c>
      <c r="E10" s="510">
        <v>101829</v>
      </c>
      <c r="F10" s="511">
        <v>103306</v>
      </c>
      <c r="G10" s="512">
        <v>103306</v>
      </c>
      <c r="H10" s="510">
        <v>5797</v>
      </c>
      <c r="I10" s="511">
        <v>5894</v>
      </c>
      <c r="J10" s="512">
        <v>5894</v>
      </c>
      <c r="K10" s="510">
        <v>38779</v>
      </c>
      <c r="L10" s="511">
        <f>47792-529</f>
        <v>47263</v>
      </c>
      <c r="M10" s="512">
        <f>50752.16-526.93</f>
        <v>50225.23</v>
      </c>
      <c r="N10" s="514">
        <v>55645</v>
      </c>
      <c r="O10" s="515">
        <v>83154</v>
      </c>
      <c r="P10" s="516">
        <v>83037.71</v>
      </c>
      <c r="Q10" s="521">
        <v>0</v>
      </c>
      <c r="R10" s="522">
        <v>0</v>
      </c>
      <c r="S10" s="523">
        <v>0</v>
      </c>
      <c r="T10" s="520">
        <f t="shared" si="0"/>
        <v>497902</v>
      </c>
      <c r="U10" s="515">
        <f t="shared" si="0"/>
        <v>540431</v>
      </c>
      <c r="V10" s="524">
        <f t="shared" si="0"/>
        <v>543275.94</v>
      </c>
    </row>
    <row r="11" spans="1:22" ht="33" customHeight="1">
      <c r="A11" s="499" t="s">
        <v>665</v>
      </c>
      <c r="B11" s="510">
        <v>273131</v>
      </c>
      <c r="C11" s="511">
        <v>278201</v>
      </c>
      <c r="D11" s="512">
        <v>278201</v>
      </c>
      <c r="E11" s="510">
        <v>93769</v>
      </c>
      <c r="F11" s="511">
        <v>95631</v>
      </c>
      <c r="G11" s="512">
        <v>95631</v>
      </c>
      <c r="H11" s="510">
        <v>5316</v>
      </c>
      <c r="I11" s="511">
        <v>5414</v>
      </c>
      <c r="J11" s="512">
        <v>5414</v>
      </c>
      <c r="K11" s="510">
        <v>39151</v>
      </c>
      <c r="L11" s="511">
        <f>42674-975</f>
        <v>41699</v>
      </c>
      <c r="M11" s="512">
        <f>47800.37-972.33</f>
        <v>46828.04</v>
      </c>
      <c r="N11" s="514">
        <v>58860</v>
      </c>
      <c r="O11" s="515">
        <v>81189</v>
      </c>
      <c r="P11" s="516">
        <v>93784.17</v>
      </c>
      <c r="Q11" s="517">
        <v>0</v>
      </c>
      <c r="R11" s="518">
        <v>0</v>
      </c>
      <c r="S11" s="519">
        <v>0</v>
      </c>
      <c r="T11" s="520">
        <f t="shared" si="0"/>
        <v>470227</v>
      </c>
      <c r="U11" s="515">
        <f t="shared" si="0"/>
        <v>502134</v>
      </c>
      <c r="V11" s="513">
        <f t="shared" si="0"/>
        <v>519858.20999999996</v>
      </c>
    </row>
    <row r="12" spans="1:22" ht="33" customHeight="1">
      <c r="A12" s="499" t="s">
        <v>666</v>
      </c>
      <c r="B12" s="510">
        <v>137574</v>
      </c>
      <c r="C12" s="511">
        <v>126158</v>
      </c>
      <c r="D12" s="512">
        <v>138720</v>
      </c>
      <c r="E12" s="510">
        <v>47045</v>
      </c>
      <c r="F12" s="511">
        <v>43254</v>
      </c>
      <c r="G12" s="512">
        <v>47596</v>
      </c>
      <c r="H12" s="510">
        <v>2674</v>
      </c>
      <c r="I12" s="511">
        <v>2455</v>
      </c>
      <c r="J12" s="512">
        <v>2703</v>
      </c>
      <c r="K12" s="510">
        <v>17042</v>
      </c>
      <c r="L12" s="511">
        <f>20030-284</f>
        <v>19746</v>
      </c>
      <c r="M12" s="512">
        <f>23757.35-282.74</f>
        <v>23474.609999999997</v>
      </c>
      <c r="N12" s="514">
        <v>33420</v>
      </c>
      <c r="O12" s="515">
        <v>51947</v>
      </c>
      <c r="P12" s="516">
        <v>58111.12</v>
      </c>
      <c r="Q12" s="521">
        <v>0</v>
      </c>
      <c r="R12" s="522">
        <v>0</v>
      </c>
      <c r="S12" s="523">
        <v>0</v>
      </c>
      <c r="T12" s="520">
        <f t="shared" si="0"/>
        <v>237755</v>
      </c>
      <c r="U12" s="515">
        <f t="shared" si="0"/>
        <v>243560</v>
      </c>
      <c r="V12" s="524">
        <f t="shared" si="0"/>
        <v>270604.73</v>
      </c>
    </row>
    <row r="13" spans="1:22" ht="33" customHeight="1">
      <c r="A13" s="499" t="s">
        <v>667</v>
      </c>
      <c r="B13" s="510">
        <v>324519</v>
      </c>
      <c r="C13" s="511">
        <v>330158</v>
      </c>
      <c r="D13" s="512">
        <v>330487</v>
      </c>
      <c r="E13" s="510">
        <v>111424</v>
      </c>
      <c r="F13" s="511">
        <v>113314</v>
      </c>
      <c r="G13" s="512">
        <v>113375</v>
      </c>
      <c r="H13" s="510">
        <v>6304</v>
      </c>
      <c r="I13" s="511">
        <v>6409</v>
      </c>
      <c r="J13" s="512">
        <v>6414</v>
      </c>
      <c r="K13" s="510">
        <v>43153</v>
      </c>
      <c r="L13" s="511">
        <f>51389-529</f>
        <v>50860</v>
      </c>
      <c r="M13" s="512">
        <f>52584.56-526.93</f>
        <v>52057.63</v>
      </c>
      <c r="N13" s="514">
        <v>78340</v>
      </c>
      <c r="O13" s="515">
        <v>97111</v>
      </c>
      <c r="P13" s="516">
        <v>97378.01</v>
      </c>
      <c r="Q13" s="517">
        <v>0</v>
      </c>
      <c r="R13" s="518">
        <v>0</v>
      </c>
      <c r="S13" s="519">
        <v>0</v>
      </c>
      <c r="T13" s="520">
        <f t="shared" si="0"/>
        <v>563740</v>
      </c>
      <c r="U13" s="515">
        <f t="shared" si="0"/>
        <v>597852</v>
      </c>
      <c r="V13" s="513">
        <f t="shared" si="0"/>
        <v>599711.64</v>
      </c>
    </row>
    <row r="14" spans="1:22" ht="33" customHeight="1">
      <c r="A14" s="499" t="s">
        <v>668</v>
      </c>
      <c r="B14" s="510">
        <v>164901</v>
      </c>
      <c r="C14" s="511">
        <v>167766</v>
      </c>
      <c r="D14" s="512">
        <v>167766</v>
      </c>
      <c r="E14" s="510">
        <v>56726</v>
      </c>
      <c r="F14" s="511">
        <v>57714</v>
      </c>
      <c r="G14" s="512">
        <v>57714</v>
      </c>
      <c r="H14" s="510">
        <v>3225</v>
      </c>
      <c r="I14" s="511">
        <v>3281</v>
      </c>
      <c r="J14" s="512">
        <v>3281</v>
      </c>
      <c r="K14" s="510">
        <v>17716</v>
      </c>
      <c r="L14" s="511">
        <f>27435-310</f>
        <v>27125</v>
      </c>
      <c r="M14" s="512">
        <f>27434.29-310</f>
        <v>27124.29</v>
      </c>
      <c r="N14" s="514">
        <v>52640</v>
      </c>
      <c r="O14" s="515">
        <v>64311</v>
      </c>
      <c r="P14" s="516">
        <v>64291.81</v>
      </c>
      <c r="Q14" s="521">
        <v>0</v>
      </c>
      <c r="R14" s="522">
        <v>0</v>
      </c>
      <c r="S14" s="523">
        <v>0</v>
      </c>
      <c r="T14" s="520">
        <f t="shared" si="0"/>
        <v>295208</v>
      </c>
      <c r="U14" s="515">
        <f t="shared" si="0"/>
        <v>320197</v>
      </c>
      <c r="V14" s="524">
        <f t="shared" si="0"/>
        <v>320177.1</v>
      </c>
    </row>
    <row r="15" spans="1:22" ht="33" customHeight="1">
      <c r="A15" s="499" t="s">
        <v>669</v>
      </c>
      <c r="B15" s="510">
        <v>207583</v>
      </c>
      <c r="C15" s="511">
        <v>211056</v>
      </c>
      <c r="D15" s="512">
        <v>211056</v>
      </c>
      <c r="E15" s="510">
        <v>71375</v>
      </c>
      <c r="F15" s="511">
        <v>72707</v>
      </c>
      <c r="G15" s="512">
        <v>72707</v>
      </c>
      <c r="H15" s="510">
        <v>4040</v>
      </c>
      <c r="I15" s="511">
        <v>4111</v>
      </c>
      <c r="J15" s="512">
        <v>4111</v>
      </c>
      <c r="K15" s="510">
        <v>30785</v>
      </c>
      <c r="L15" s="511">
        <f>39908-323</f>
        <v>39585</v>
      </c>
      <c r="M15" s="512">
        <f>42704.65-321.3</f>
        <v>42383.35</v>
      </c>
      <c r="N15" s="514">
        <v>62110</v>
      </c>
      <c r="O15" s="515">
        <v>96663</v>
      </c>
      <c r="P15" s="516">
        <v>98826.59</v>
      </c>
      <c r="Q15" s="517">
        <v>0</v>
      </c>
      <c r="R15" s="518">
        <v>0</v>
      </c>
      <c r="S15" s="519">
        <v>0</v>
      </c>
      <c r="T15" s="520">
        <f t="shared" si="0"/>
        <v>375893</v>
      </c>
      <c r="U15" s="515">
        <f t="shared" si="0"/>
        <v>424122</v>
      </c>
      <c r="V15" s="513">
        <f t="shared" si="0"/>
        <v>429083.93999999994</v>
      </c>
    </row>
    <row r="16" spans="1:22" ht="33" customHeight="1">
      <c r="A16" s="499" t="s">
        <v>670</v>
      </c>
      <c r="B16" s="510">
        <v>182151</v>
      </c>
      <c r="C16" s="511">
        <v>185883</v>
      </c>
      <c r="D16" s="512">
        <v>185883</v>
      </c>
      <c r="E16" s="510">
        <v>62674</v>
      </c>
      <c r="F16" s="511">
        <v>63938</v>
      </c>
      <c r="G16" s="512">
        <v>63938</v>
      </c>
      <c r="H16" s="510">
        <v>3567</v>
      </c>
      <c r="I16" s="511">
        <v>3637</v>
      </c>
      <c r="J16" s="512">
        <v>3637</v>
      </c>
      <c r="K16" s="510">
        <v>22405</v>
      </c>
      <c r="L16" s="511">
        <f>28355-387</f>
        <v>27968</v>
      </c>
      <c r="M16" s="512">
        <f>31807.01-385.56</f>
        <v>31421.449999999997</v>
      </c>
      <c r="N16" s="514">
        <v>54261</v>
      </c>
      <c r="O16" s="515">
        <v>94629</v>
      </c>
      <c r="P16" s="516">
        <v>96864.26</v>
      </c>
      <c r="Q16" s="521">
        <v>0</v>
      </c>
      <c r="R16" s="522">
        <v>0</v>
      </c>
      <c r="S16" s="523">
        <v>0</v>
      </c>
      <c r="T16" s="520">
        <f t="shared" si="0"/>
        <v>325058</v>
      </c>
      <c r="U16" s="515">
        <f t="shared" si="0"/>
        <v>376055</v>
      </c>
      <c r="V16" s="513">
        <f t="shared" si="0"/>
        <v>381743.71</v>
      </c>
    </row>
    <row r="17" spans="1:22" ht="33" customHeight="1">
      <c r="A17" s="499" t="s">
        <v>671</v>
      </c>
      <c r="B17" s="510">
        <v>239739</v>
      </c>
      <c r="C17" s="511">
        <v>242049</v>
      </c>
      <c r="D17" s="512">
        <v>242049</v>
      </c>
      <c r="E17" s="510">
        <v>82592</v>
      </c>
      <c r="F17" s="511">
        <v>83187</v>
      </c>
      <c r="G17" s="512">
        <v>83167</v>
      </c>
      <c r="H17" s="510">
        <v>4675</v>
      </c>
      <c r="I17" s="511">
        <v>4713</v>
      </c>
      <c r="J17" s="512">
        <v>4713</v>
      </c>
      <c r="K17" s="510">
        <v>32286</v>
      </c>
      <c r="L17" s="511">
        <f>39381-491</f>
        <v>38890</v>
      </c>
      <c r="M17" s="512">
        <f>42520.94-488.38</f>
        <v>42032.560000000005</v>
      </c>
      <c r="N17" s="514">
        <v>60560</v>
      </c>
      <c r="O17" s="515">
        <v>94097</v>
      </c>
      <c r="P17" s="516">
        <v>98782.32</v>
      </c>
      <c r="Q17" s="517">
        <v>0</v>
      </c>
      <c r="R17" s="518">
        <v>0</v>
      </c>
      <c r="S17" s="519">
        <v>0</v>
      </c>
      <c r="T17" s="520">
        <f t="shared" si="0"/>
        <v>419852</v>
      </c>
      <c r="U17" s="515">
        <f t="shared" si="0"/>
        <v>462936</v>
      </c>
      <c r="V17" s="524">
        <f t="shared" si="0"/>
        <v>470743.88</v>
      </c>
    </row>
    <row r="18" spans="1:22" ht="33" customHeight="1">
      <c r="A18" s="499" t="s">
        <v>672</v>
      </c>
      <c r="B18" s="510">
        <v>372228</v>
      </c>
      <c r="C18" s="511">
        <v>379785</v>
      </c>
      <c r="D18" s="512">
        <v>381504</v>
      </c>
      <c r="E18" s="510">
        <v>127828</v>
      </c>
      <c r="F18" s="511">
        <v>130392</v>
      </c>
      <c r="G18" s="512">
        <v>130951</v>
      </c>
      <c r="H18" s="510">
        <v>7279</v>
      </c>
      <c r="I18" s="511">
        <v>7420</v>
      </c>
      <c r="J18" s="512">
        <v>7454</v>
      </c>
      <c r="K18" s="510">
        <v>46818</v>
      </c>
      <c r="L18" s="511">
        <f>53175-645</f>
        <v>52530</v>
      </c>
      <c r="M18" s="512">
        <f>62152.94-642.6</f>
        <v>61510.340000000004</v>
      </c>
      <c r="N18" s="514">
        <v>95878</v>
      </c>
      <c r="O18" s="515">
        <v>130263</v>
      </c>
      <c r="P18" s="516">
        <v>130309.55</v>
      </c>
      <c r="Q18" s="521">
        <v>0</v>
      </c>
      <c r="R18" s="522">
        <v>0</v>
      </c>
      <c r="S18" s="523">
        <v>0</v>
      </c>
      <c r="T18" s="520">
        <f t="shared" si="0"/>
        <v>650031</v>
      </c>
      <c r="U18" s="515">
        <f t="shared" si="0"/>
        <v>700390</v>
      </c>
      <c r="V18" s="513">
        <f t="shared" si="0"/>
        <v>711728.89</v>
      </c>
    </row>
    <row r="19" spans="1:22" ht="33" customHeight="1">
      <c r="A19" s="499" t="s">
        <v>673</v>
      </c>
      <c r="B19" s="510">
        <v>181739</v>
      </c>
      <c r="C19" s="511">
        <v>184912</v>
      </c>
      <c r="D19" s="512">
        <v>184912</v>
      </c>
      <c r="E19" s="510">
        <v>62282</v>
      </c>
      <c r="F19" s="511">
        <v>63504</v>
      </c>
      <c r="G19" s="512">
        <v>63504</v>
      </c>
      <c r="H19" s="510">
        <v>3545</v>
      </c>
      <c r="I19" s="511">
        <v>3608</v>
      </c>
      <c r="J19" s="512">
        <v>3608</v>
      </c>
      <c r="K19" s="510">
        <v>28113</v>
      </c>
      <c r="L19" s="511">
        <f>33922-362</f>
        <v>33560</v>
      </c>
      <c r="M19" s="512">
        <f>36624.81-359.86</f>
        <v>36264.95</v>
      </c>
      <c r="N19" s="514">
        <v>41418</v>
      </c>
      <c r="O19" s="515">
        <v>55304</v>
      </c>
      <c r="P19" s="516">
        <v>55785.31</v>
      </c>
      <c r="Q19" s="517">
        <v>0</v>
      </c>
      <c r="R19" s="518">
        <v>0</v>
      </c>
      <c r="S19" s="519">
        <v>0</v>
      </c>
      <c r="T19" s="520">
        <f t="shared" si="0"/>
        <v>317097</v>
      </c>
      <c r="U19" s="515">
        <f t="shared" si="0"/>
        <v>340888</v>
      </c>
      <c r="V19" s="524">
        <f t="shared" si="0"/>
        <v>344074.26</v>
      </c>
    </row>
    <row r="20" spans="1:22" ht="33" customHeight="1">
      <c r="A20" s="499" t="s">
        <v>674</v>
      </c>
      <c r="B20" s="510">
        <v>237454</v>
      </c>
      <c r="C20" s="511">
        <v>244479</v>
      </c>
      <c r="D20" s="512">
        <v>244461</v>
      </c>
      <c r="E20" s="510">
        <v>81283</v>
      </c>
      <c r="F20" s="511">
        <v>83667</v>
      </c>
      <c r="G20" s="512">
        <v>83656</v>
      </c>
      <c r="H20" s="510">
        <v>4611</v>
      </c>
      <c r="I20" s="511">
        <v>4744</v>
      </c>
      <c r="J20" s="512">
        <v>4744</v>
      </c>
      <c r="K20" s="510">
        <v>32317</v>
      </c>
      <c r="L20" s="511">
        <f>39661-387</f>
        <v>39274</v>
      </c>
      <c r="M20" s="512">
        <f>45243.99-385.56</f>
        <v>44858.43</v>
      </c>
      <c r="N20" s="514">
        <v>59000</v>
      </c>
      <c r="O20" s="515">
        <v>83040</v>
      </c>
      <c r="P20" s="516">
        <v>85794.46</v>
      </c>
      <c r="Q20" s="521">
        <v>0</v>
      </c>
      <c r="R20" s="522">
        <v>0</v>
      </c>
      <c r="S20" s="523">
        <v>0</v>
      </c>
      <c r="T20" s="520">
        <f t="shared" si="0"/>
        <v>414665</v>
      </c>
      <c r="U20" s="515">
        <f t="shared" si="0"/>
        <v>455204</v>
      </c>
      <c r="V20" s="513">
        <f t="shared" si="0"/>
        <v>463513.89</v>
      </c>
    </row>
    <row r="21" spans="1:22" ht="33" customHeight="1" thickBot="1">
      <c r="A21" s="499" t="s">
        <v>675</v>
      </c>
      <c r="B21" s="510">
        <v>402258</v>
      </c>
      <c r="C21" s="511">
        <v>412543</v>
      </c>
      <c r="D21" s="512">
        <v>412543</v>
      </c>
      <c r="E21" s="510">
        <v>137761</v>
      </c>
      <c r="F21" s="511">
        <v>141556</v>
      </c>
      <c r="G21" s="512">
        <f>141556-1</f>
        <v>141555</v>
      </c>
      <c r="H21" s="510">
        <v>7671</v>
      </c>
      <c r="I21" s="511">
        <v>7928</v>
      </c>
      <c r="J21" s="512">
        <f>7928+1</f>
        <v>7929</v>
      </c>
      <c r="K21" s="525">
        <v>64570</v>
      </c>
      <c r="L21" s="511">
        <f>81079-1184</f>
        <v>79895</v>
      </c>
      <c r="M21" s="526">
        <f>92313.03-1180.94</f>
        <v>91132.09</v>
      </c>
      <c r="N21" s="514">
        <v>96780</v>
      </c>
      <c r="O21" s="515">
        <v>121978</v>
      </c>
      <c r="P21" s="516">
        <v>129493.98</v>
      </c>
      <c r="Q21" s="517">
        <v>0</v>
      </c>
      <c r="R21" s="518">
        <v>0</v>
      </c>
      <c r="S21" s="519">
        <v>0</v>
      </c>
      <c r="T21" s="527">
        <f t="shared" si="0"/>
        <v>709040</v>
      </c>
      <c r="U21" s="511">
        <f t="shared" si="0"/>
        <v>763900</v>
      </c>
      <c r="V21" s="513">
        <f t="shared" si="0"/>
        <v>782653.07</v>
      </c>
    </row>
    <row r="22" spans="1:22" ht="33" customHeight="1" thickBot="1">
      <c r="A22" s="528" t="s">
        <v>676</v>
      </c>
      <c r="B22" s="529">
        <f aca="true" t="shared" si="1" ref="B22:P22">SUM(B8:B21)</f>
        <v>3897106</v>
      </c>
      <c r="C22" s="530">
        <f t="shared" si="1"/>
        <v>3958035</v>
      </c>
      <c r="D22" s="531">
        <f t="shared" si="1"/>
        <v>3972627</v>
      </c>
      <c r="E22" s="529">
        <f t="shared" si="1"/>
        <v>1338231</v>
      </c>
      <c r="F22" s="530">
        <f t="shared" si="1"/>
        <v>1359123</v>
      </c>
      <c r="G22" s="531">
        <f t="shared" si="1"/>
        <v>1364053</v>
      </c>
      <c r="H22" s="529">
        <f t="shared" si="1"/>
        <v>75812</v>
      </c>
      <c r="I22" s="530">
        <f t="shared" si="1"/>
        <v>77024</v>
      </c>
      <c r="J22" s="531">
        <f t="shared" si="1"/>
        <v>77312</v>
      </c>
      <c r="K22" s="529">
        <f t="shared" si="1"/>
        <v>525825</v>
      </c>
      <c r="L22" s="530">
        <f t="shared" si="1"/>
        <v>666622</v>
      </c>
      <c r="M22" s="531">
        <f t="shared" si="1"/>
        <v>725085.1399999999</v>
      </c>
      <c r="N22" s="529">
        <f t="shared" si="1"/>
        <v>936492</v>
      </c>
      <c r="O22" s="530">
        <f t="shared" si="1"/>
        <v>1311975</v>
      </c>
      <c r="P22" s="532">
        <f t="shared" si="1"/>
        <v>1351617.42</v>
      </c>
      <c r="Q22" s="533">
        <v>0</v>
      </c>
      <c r="R22" s="534">
        <v>0</v>
      </c>
      <c r="S22" s="535">
        <v>0</v>
      </c>
      <c r="T22" s="536">
        <f>SUM(T8:T21)</f>
        <v>6773466</v>
      </c>
      <c r="U22" s="530">
        <f>SUM(U8:U21)</f>
        <v>7372779</v>
      </c>
      <c r="V22" s="531">
        <f>SUM(V8:V21)</f>
        <v>7490694.56</v>
      </c>
    </row>
    <row r="23" spans="1:22" ht="9" customHeight="1">
      <c r="A23" s="537"/>
      <c r="B23" s="538"/>
      <c r="C23" s="539"/>
      <c r="D23" s="540"/>
      <c r="E23" s="538"/>
      <c r="F23" s="539"/>
      <c r="G23" s="540"/>
      <c r="H23" s="538"/>
      <c r="I23" s="539"/>
      <c r="J23" s="540"/>
      <c r="K23" s="538"/>
      <c r="L23" s="539"/>
      <c r="M23" s="540"/>
      <c r="N23" s="541"/>
      <c r="O23" s="542"/>
      <c r="P23" s="543"/>
      <c r="Q23" s="541"/>
      <c r="R23" s="542"/>
      <c r="S23" s="544"/>
      <c r="T23" s="545"/>
      <c r="U23" s="542"/>
      <c r="V23" s="546"/>
    </row>
    <row r="24" spans="1:22" ht="33" customHeight="1">
      <c r="A24" s="547" t="s">
        <v>680</v>
      </c>
      <c r="B24" s="510">
        <v>14549</v>
      </c>
      <c r="C24" s="511">
        <v>15317</v>
      </c>
      <c r="D24" s="512">
        <v>15311</v>
      </c>
      <c r="E24" s="510">
        <v>4979</v>
      </c>
      <c r="F24" s="511">
        <v>5227</v>
      </c>
      <c r="G24" s="512">
        <v>5222</v>
      </c>
      <c r="H24" s="510">
        <v>284</v>
      </c>
      <c r="I24" s="511">
        <v>299</v>
      </c>
      <c r="J24" s="512">
        <v>298</v>
      </c>
      <c r="K24" s="510">
        <v>2851</v>
      </c>
      <c r="L24" s="511">
        <v>6857</v>
      </c>
      <c r="M24" s="512">
        <v>6844.77</v>
      </c>
      <c r="N24" s="514">
        <v>2700</v>
      </c>
      <c r="O24" s="515">
        <v>5600</v>
      </c>
      <c r="P24" s="516">
        <v>5586.53</v>
      </c>
      <c r="Q24" s="517"/>
      <c r="R24" s="518"/>
      <c r="S24" s="519"/>
      <c r="T24" s="520">
        <f aca="true" t="shared" si="2" ref="T24:V26">B24+E24+H24+K24+N24+Q24</f>
        <v>25363</v>
      </c>
      <c r="U24" s="515">
        <f t="shared" si="2"/>
        <v>33300</v>
      </c>
      <c r="V24" s="513">
        <f t="shared" si="2"/>
        <v>33262.3</v>
      </c>
    </row>
    <row r="25" spans="1:22" ht="33" customHeight="1">
      <c r="A25" s="547" t="s">
        <v>1777</v>
      </c>
      <c r="B25" s="548">
        <v>248791</v>
      </c>
      <c r="C25" s="549">
        <v>253857</v>
      </c>
      <c r="D25" s="524">
        <v>254011</v>
      </c>
      <c r="E25" s="548">
        <v>85351</v>
      </c>
      <c r="F25" s="549">
        <v>86835</v>
      </c>
      <c r="G25" s="524">
        <v>86745</v>
      </c>
      <c r="H25" s="548">
        <v>4781</v>
      </c>
      <c r="I25" s="549">
        <v>4878</v>
      </c>
      <c r="J25" s="524">
        <v>4877</v>
      </c>
      <c r="K25" s="548">
        <f>278035-11956</f>
        <v>266079</v>
      </c>
      <c r="L25" s="549">
        <f>602174-2233</f>
        <v>599941</v>
      </c>
      <c r="M25" s="524">
        <f>605657.86-2021.6</f>
        <v>603636.26</v>
      </c>
      <c r="N25" s="550">
        <v>447933</v>
      </c>
      <c r="O25" s="551">
        <v>476286</v>
      </c>
      <c r="P25" s="552">
        <v>454728.2</v>
      </c>
      <c r="Q25" s="550">
        <v>18358</v>
      </c>
      <c r="R25" s="551">
        <v>17993</v>
      </c>
      <c r="S25" s="553">
        <v>18351.414</v>
      </c>
      <c r="T25" s="554">
        <f t="shared" si="2"/>
        <v>1071293</v>
      </c>
      <c r="U25" s="551">
        <f>C25+F25+I25+L25+O25+R25-60</f>
        <v>1439730</v>
      </c>
      <c r="V25" s="555">
        <f>D25+G25+J25+M25+P25+S25-328.8</f>
        <v>1422020.074</v>
      </c>
    </row>
    <row r="26" spans="1:22" ht="33" customHeight="1" thickBot="1">
      <c r="A26" s="556" t="s">
        <v>841</v>
      </c>
      <c r="B26" s="557">
        <v>8382</v>
      </c>
      <c r="C26" s="558">
        <v>0</v>
      </c>
      <c r="D26" s="559">
        <v>0</v>
      </c>
      <c r="E26" s="557">
        <v>0</v>
      </c>
      <c r="F26" s="558">
        <v>0</v>
      </c>
      <c r="G26" s="559">
        <v>0</v>
      </c>
      <c r="H26" s="557">
        <v>0</v>
      </c>
      <c r="I26" s="558">
        <v>0</v>
      </c>
      <c r="J26" s="559">
        <v>0</v>
      </c>
      <c r="K26" s="557">
        <v>22658</v>
      </c>
      <c r="L26" s="558">
        <v>0</v>
      </c>
      <c r="M26" s="559">
        <v>0</v>
      </c>
      <c r="N26" s="560">
        <v>203577</v>
      </c>
      <c r="O26" s="558">
        <v>0</v>
      </c>
      <c r="P26" s="561">
        <v>0</v>
      </c>
      <c r="Q26" s="562">
        <v>0</v>
      </c>
      <c r="R26" s="558">
        <v>0</v>
      </c>
      <c r="S26" s="563">
        <v>0</v>
      </c>
      <c r="T26" s="560">
        <f t="shared" si="2"/>
        <v>234617</v>
      </c>
      <c r="U26" s="558">
        <v>0</v>
      </c>
      <c r="V26" s="559">
        <v>0</v>
      </c>
    </row>
    <row r="27" spans="1:22" s="581" customFormat="1" ht="39" customHeight="1" thickBot="1">
      <c r="A27" s="528" t="s">
        <v>677</v>
      </c>
      <c r="B27" s="574">
        <f>SUM(B22:B26)</f>
        <v>4168828</v>
      </c>
      <c r="C27" s="575">
        <f aca="true" t="shared" si="3" ref="C27:S27">SUM(C22:C25)</f>
        <v>4227209</v>
      </c>
      <c r="D27" s="576">
        <f t="shared" si="3"/>
        <v>4241949</v>
      </c>
      <c r="E27" s="574">
        <f t="shared" si="3"/>
        <v>1428561</v>
      </c>
      <c r="F27" s="575">
        <f t="shared" si="3"/>
        <v>1451185</v>
      </c>
      <c r="G27" s="576">
        <f t="shared" si="3"/>
        <v>1456020</v>
      </c>
      <c r="H27" s="574">
        <f t="shared" si="3"/>
        <v>80877</v>
      </c>
      <c r="I27" s="575">
        <f t="shared" si="3"/>
        <v>82201</v>
      </c>
      <c r="J27" s="576">
        <f t="shared" si="3"/>
        <v>82487</v>
      </c>
      <c r="K27" s="574">
        <f>SUM(K22:K26)</f>
        <v>817413</v>
      </c>
      <c r="L27" s="575">
        <f t="shared" si="3"/>
        <v>1273420</v>
      </c>
      <c r="M27" s="576">
        <f t="shared" si="3"/>
        <v>1335566.17</v>
      </c>
      <c r="N27" s="574">
        <f>SUM(N22:N26)</f>
        <v>1590702</v>
      </c>
      <c r="O27" s="575">
        <f t="shared" si="3"/>
        <v>1793861</v>
      </c>
      <c r="P27" s="577">
        <f t="shared" si="3"/>
        <v>1811932.15</v>
      </c>
      <c r="Q27" s="578">
        <f t="shared" si="3"/>
        <v>18358</v>
      </c>
      <c r="R27" s="575">
        <f t="shared" si="3"/>
        <v>17993</v>
      </c>
      <c r="S27" s="579">
        <f t="shared" si="3"/>
        <v>18351.414</v>
      </c>
      <c r="T27" s="580">
        <f>SUM(T22:T26)</f>
        <v>8104739</v>
      </c>
      <c r="U27" s="575">
        <f>SUM(U22:U25)</f>
        <v>8845809</v>
      </c>
      <c r="V27" s="576">
        <f>SUM(V22:V25)</f>
        <v>8945976.934</v>
      </c>
    </row>
    <row r="28" spans="1:16" ht="11.25" customHeight="1">
      <c r="A28" s="564"/>
      <c r="B28" s="565"/>
      <c r="C28" s="565"/>
      <c r="D28" s="565"/>
      <c r="E28" s="565"/>
      <c r="F28" s="565"/>
      <c r="G28" s="565"/>
      <c r="H28" s="565"/>
      <c r="I28" s="565"/>
      <c r="J28" s="565"/>
      <c r="K28" s="565"/>
      <c r="L28" s="565"/>
      <c r="M28" s="565"/>
      <c r="N28" s="565"/>
      <c r="O28" s="565"/>
      <c r="P28" s="565"/>
    </row>
    <row r="29" spans="1:22" s="568" customFormat="1" ht="21.75" customHeight="1">
      <c r="A29" s="566" t="s">
        <v>1569</v>
      </c>
      <c r="B29" s="567"/>
      <c r="C29" s="567"/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V29" s="569"/>
    </row>
    <row r="30" spans="1:22" s="568" customFormat="1" ht="21.75" customHeight="1">
      <c r="A30" s="570" t="s">
        <v>1570</v>
      </c>
      <c r="B30" s="567"/>
      <c r="C30" s="567"/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V30" s="569"/>
    </row>
    <row r="31" spans="1:22" s="568" customFormat="1" ht="21.75" customHeight="1">
      <c r="A31" s="570" t="s">
        <v>1571</v>
      </c>
      <c r="V31" s="569"/>
    </row>
    <row r="32" ht="31.5" customHeight="1"/>
    <row r="33" spans="1:22" s="428" customFormat="1" ht="19.5" customHeight="1">
      <c r="A33" s="428" t="s">
        <v>678</v>
      </c>
      <c r="M33" s="582" t="s">
        <v>1572</v>
      </c>
      <c r="P33" s="582"/>
      <c r="Q33" s="582"/>
      <c r="R33" s="582"/>
      <c r="S33" s="582"/>
      <c r="T33" s="1247" t="s">
        <v>1573</v>
      </c>
      <c r="U33" s="1247"/>
      <c r="V33" s="1247"/>
    </row>
    <row r="34" spans="12:16" ht="12.75">
      <c r="L34" s="571"/>
      <c r="N34" s="571"/>
      <c r="O34" s="571"/>
      <c r="P34" s="571"/>
    </row>
    <row r="35" spans="12:16" ht="12.75">
      <c r="L35" s="571"/>
      <c r="N35" s="571"/>
      <c r="O35" s="571"/>
      <c r="P35" s="571"/>
    </row>
    <row r="36" spans="12:16" ht="12.75">
      <c r="L36" s="571"/>
      <c r="N36" s="571"/>
      <c r="O36" s="571"/>
      <c r="P36" s="571"/>
    </row>
    <row r="37" spans="12:16" ht="12.75">
      <c r="L37" s="571"/>
      <c r="N37" s="571"/>
      <c r="O37" s="571"/>
      <c r="P37" s="571"/>
    </row>
    <row r="38" spans="12:16" ht="12.75">
      <c r="L38" s="571"/>
      <c r="N38" s="571"/>
      <c r="O38" s="571"/>
      <c r="P38" s="571"/>
    </row>
    <row r="39" spans="12:16" ht="12.75">
      <c r="L39" s="571"/>
      <c r="N39" s="571"/>
      <c r="O39" s="571"/>
      <c r="P39" s="571"/>
    </row>
    <row r="40" spans="12:16" ht="12.75">
      <c r="L40" s="571"/>
      <c r="N40" s="571"/>
      <c r="O40" s="571"/>
      <c r="P40" s="571"/>
    </row>
    <row r="41" spans="12:16" ht="12.75">
      <c r="L41" s="571"/>
      <c r="N41" s="571"/>
      <c r="O41" s="571"/>
      <c r="P41" s="571"/>
    </row>
    <row r="42" spans="12:16" ht="12.75">
      <c r="L42" s="571"/>
      <c r="N42" s="571"/>
      <c r="O42" s="571"/>
      <c r="P42" s="571"/>
    </row>
    <row r="43" spans="12:16" ht="12.75">
      <c r="L43" s="571"/>
      <c r="M43" s="572"/>
      <c r="N43" s="571"/>
      <c r="O43" s="571"/>
      <c r="P43" s="571"/>
    </row>
    <row r="44" spans="12:16" ht="12.75">
      <c r="L44" s="571"/>
      <c r="N44" s="571"/>
      <c r="O44" s="571"/>
      <c r="P44" s="571"/>
    </row>
  </sheetData>
  <mergeCells count="9">
    <mergeCell ref="T33:V33"/>
    <mergeCell ref="U2:V2"/>
    <mergeCell ref="A4:V4"/>
    <mergeCell ref="A6:A7"/>
    <mergeCell ref="B6:D6"/>
    <mergeCell ref="E6:G6"/>
    <mergeCell ref="N6:P6"/>
    <mergeCell ref="Q6:S6"/>
    <mergeCell ref="T6:V6"/>
  </mergeCells>
  <printOptions horizontalCentered="1"/>
  <pageMargins left="0.1968503937007874" right="0.1968503937007874" top="0.984251968503937" bottom="0.7874015748031497" header="0.7086614173228347" footer="0.31496062992125984"/>
  <pageSetup blackAndWhite="1" fitToHeight="1" fitToWidth="1" horizontalDpi="600" verticalDpi="600" orientation="landscape" paperSize="9" scale="44" r:id="rId1"/>
  <headerFooter alignWithMargins="0">
    <oddFooter>&amp;C&amp;18&amp;P+180&amp;22
&amp;16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25"/>
  <sheetViews>
    <sheetView workbookViewId="0" topLeftCell="A1">
      <selection activeCell="F5" sqref="F5"/>
    </sheetView>
  </sheetViews>
  <sheetFormatPr defaultColWidth="9.00390625" defaultRowHeight="19.5" customHeight="1"/>
  <cols>
    <col min="1" max="1" width="26.875" style="368" bestFit="1" customWidth="1"/>
    <col min="2" max="4" width="9.75390625" style="368" hidden="1" customWidth="1"/>
    <col min="5" max="15" width="9.75390625" style="368" customWidth="1"/>
    <col min="16" max="16" width="10.375" style="368" bestFit="1" customWidth="1"/>
    <col min="17" max="17" width="11.375" style="368" customWidth="1"/>
    <col min="18" max="18" width="11.625" style="368" customWidth="1"/>
    <col min="19" max="19" width="13.375" style="368" customWidth="1"/>
    <col min="20" max="22" width="9.75390625" style="368" customWidth="1"/>
    <col min="23" max="23" width="11.625" style="368" hidden="1" customWidth="1"/>
    <col min="24" max="25" width="12.00390625" style="368" customWidth="1"/>
    <col min="26" max="26" width="11.875" style="368" customWidth="1"/>
    <col min="27" max="27" width="2.75390625" style="368" customWidth="1"/>
    <col min="28" max="16384" width="9.125" style="368" customWidth="1"/>
  </cols>
  <sheetData>
    <row r="3" spans="1:26" s="427" customFormat="1" ht="19.5" customHeight="1">
      <c r="A3" s="426" t="s">
        <v>1543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6"/>
      <c r="T3" s="426"/>
      <c r="U3" s="426"/>
      <c r="Y3" s="1254" t="s">
        <v>843</v>
      </c>
      <c r="Z3" s="1254"/>
    </row>
    <row r="4" spans="1:26" s="428" customFormat="1" ht="19.5" customHeight="1">
      <c r="A4" s="1315" t="s">
        <v>834</v>
      </c>
      <c r="B4" s="1315"/>
      <c r="C4" s="1315"/>
      <c r="D4" s="1315"/>
      <c r="E4" s="1315"/>
      <c r="F4" s="1315"/>
      <c r="G4" s="1315"/>
      <c r="H4" s="1315"/>
      <c r="I4" s="1315"/>
      <c r="J4" s="1315"/>
      <c r="K4" s="1315"/>
      <c r="L4" s="1315"/>
      <c r="M4" s="1315"/>
      <c r="N4" s="1315"/>
      <c r="O4" s="1315"/>
      <c r="P4" s="1315"/>
      <c r="Q4" s="1315"/>
      <c r="R4" s="1315"/>
      <c r="S4" s="1315"/>
      <c r="T4" s="1315"/>
      <c r="U4" s="1315"/>
      <c r="V4" s="1315"/>
      <c r="W4" s="1315"/>
      <c r="X4" s="1315"/>
      <c r="Y4" s="1315"/>
      <c r="Z4" s="1315"/>
    </row>
    <row r="6" spans="1:31" ht="19.5" customHeight="1" thickBot="1">
      <c r="A6" s="369"/>
      <c r="B6" s="369"/>
      <c r="C6" s="369"/>
      <c r="D6" s="369"/>
      <c r="Q6" s="370"/>
      <c r="R6" s="370"/>
      <c r="S6" s="370"/>
      <c r="T6" s="370"/>
      <c r="U6" s="370"/>
      <c r="V6" s="371"/>
      <c r="W6" s="371"/>
      <c r="X6" s="370"/>
      <c r="Y6" s="370"/>
      <c r="Z6" s="371" t="s">
        <v>1545</v>
      </c>
      <c r="AA6" s="370"/>
      <c r="AB6" s="370"/>
      <c r="AC6" s="370"/>
      <c r="AD6" s="370"/>
      <c r="AE6" s="370"/>
    </row>
    <row r="7" spans="1:31" ht="24.75" customHeight="1" thickBot="1">
      <c r="A7" s="372"/>
      <c r="B7" s="1316" t="s">
        <v>835</v>
      </c>
      <c r="C7" s="1317"/>
      <c r="D7" s="1318"/>
      <c r="E7" s="1319" t="s">
        <v>836</v>
      </c>
      <c r="F7" s="1320"/>
      <c r="G7" s="1321"/>
      <c r="H7" s="375"/>
      <c r="I7" s="376" t="s">
        <v>1547</v>
      </c>
      <c r="J7" s="377"/>
      <c r="K7" s="375"/>
      <c r="L7" s="374" t="s">
        <v>1548</v>
      </c>
      <c r="M7" s="377"/>
      <c r="N7" s="375"/>
      <c r="O7" s="374" t="s">
        <v>1549</v>
      </c>
      <c r="P7" s="377"/>
      <c r="Q7" s="1319" t="s">
        <v>1550</v>
      </c>
      <c r="R7" s="1320"/>
      <c r="S7" s="1321"/>
      <c r="T7" s="1319" t="s">
        <v>1551</v>
      </c>
      <c r="U7" s="1320"/>
      <c r="V7" s="1321"/>
      <c r="W7" s="376" t="s">
        <v>1552</v>
      </c>
      <c r="X7" s="373"/>
      <c r="Y7" s="374" t="s">
        <v>1553</v>
      </c>
      <c r="Z7" s="378"/>
      <c r="AA7" s="379"/>
      <c r="AB7" s="370"/>
      <c r="AC7" s="370"/>
      <c r="AD7" s="370"/>
      <c r="AE7" s="370"/>
    </row>
    <row r="8" spans="1:31" ht="24.75" customHeight="1" thickBot="1">
      <c r="A8" s="380" t="s">
        <v>1554</v>
      </c>
      <c r="B8" s="380" t="s">
        <v>1555</v>
      </c>
      <c r="C8" s="381" t="s">
        <v>1556</v>
      </c>
      <c r="D8" s="382" t="s">
        <v>1557</v>
      </c>
      <c r="E8" s="380" t="s">
        <v>1555</v>
      </c>
      <c r="F8" s="381" t="s">
        <v>1556</v>
      </c>
      <c r="G8" s="383" t="s">
        <v>1557</v>
      </c>
      <c r="H8" s="380" t="s">
        <v>1555</v>
      </c>
      <c r="I8" s="381" t="s">
        <v>1556</v>
      </c>
      <c r="J8" s="383" t="s">
        <v>1557</v>
      </c>
      <c r="K8" s="380" t="s">
        <v>1555</v>
      </c>
      <c r="L8" s="381" t="s">
        <v>1556</v>
      </c>
      <c r="M8" s="383" t="s">
        <v>1557</v>
      </c>
      <c r="N8" s="380" t="s">
        <v>1555</v>
      </c>
      <c r="O8" s="381" t="s">
        <v>1556</v>
      </c>
      <c r="P8" s="383" t="s">
        <v>1557</v>
      </c>
      <c r="Q8" s="380" t="s">
        <v>1555</v>
      </c>
      <c r="R8" s="381" t="s">
        <v>1556</v>
      </c>
      <c r="S8" s="383" t="s">
        <v>1557</v>
      </c>
      <c r="T8" s="384" t="s">
        <v>1555</v>
      </c>
      <c r="U8" s="385" t="s">
        <v>1556</v>
      </c>
      <c r="V8" s="383" t="s">
        <v>1557</v>
      </c>
      <c r="W8" s="386" t="s">
        <v>1558</v>
      </c>
      <c r="X8" s="384" t="s">
        <v>1555</v>
      </c>
      <c r="Y8" s="385" t="s">
        <v>1556</v>
      </c>
      <c r="Z8" s="383" t="s">
        <v>1557</v>
      </c>
      <c r="AA8" s="379"/>
      <c r="AB8" s="379"/>
      <c r="AC8" s="379"/>
      <c r="AD8" s="379"/>
      <c r="AE8" s="379"/>
    </row>
    <row r="9" spans="1:31" ht="24.75" customHeight="1">
      <c r="A9" s="387" t="s">
        <v>1601</v>
      </c>
      <c r="B9" s="388">
        <v>850</v>
      </c>
      <c r="C9" s="389">
        <v>1449</v>
      </c>
      <c r="D9" s="390">
        <v>1464.529</v>
      </c>
      <c r="E9" s="372">
        <f>116283+1902</f>
        <v>118185</v>
      </c>
      <c r="F9" s="391">
        <f>120066+1759</f>
        <v>121825</v>
      </c>
      <c r="G9" s="378">
        <f>120049.978+1908.228</f>
        <v>121958.206</v>
      </c>
      <c r="H9" s="372">
        <v>40699</v>
      </c>
      <c r="I9" s="392">
        <v>42043</v>
      </c>
      <c r="J9" s="378">
        <v>42034.278</v>
      </c>
      <c r="K9" s="393">
        <v>2325</v>
      </c>
      <c r="L9" s="394">
        <v>2401</v>
      </c>
      <c r="M9" s="378">
        <v>2401</v>
      </c>
      <c r="N9" s="393">
        <v>40039</v>
      </c>
      <c r="O9" s="395">
        <v>49478</v>
      </c>
      <c r="P9" s="396">
        <v>49928.772</v>
      </c>
      <c r="Q9" s="372">
        <f>12019+21196</f>
        <v>33215</v>
      </c>
      <c r="R9" s="391">
        <f>11822+25469</f>
        <v>37291</v>
      </c>
      <c r="S9" s="378">
        <f>11815.086+44975.352</f>
        <v>56790.437999999995</v>
      </c>
      <c r="T9" s="397"/>
      <c r="U9" s="398"/>
      <c r="V9" s="399"/>
      <c r="W9" s="400"/>
      <c r="X9" s="401">
        <f aca="true" t="shared" si="0" ref="X9:Y14">T9+Q9+N9+K9+H9+E9</f>
        <v>234463</v>
      </c>
      <c r="Y9" s="402">
        <f t="shared" si="0"/>
        <v>253038</v>
      </c>
      <c r="Z9" s="403">
        <f aca="true" t="shared" si="1" ref="Z9:Z14">G9+J9+M9+P9+S9+V9+W9</f>
        <v>273112.694</v>
      </c>
      <c r="AA9" s="370"/>
      <c r="AB9" s="370"/>
      <c r="AC9" s="370"/>
      <c r="AD9" s="370"/>
      <c r="AE9" s="370"/>
    </row>
    <row r="10" spans="1:31" ht="24.75" customHeight="1">
      <c r="A10" s="387" t="s">
        <v>1602</v>
      </c>
      <c r="B10" s="387">
        <v>1150</v>
      </c>
      <c r="C10" s="392">
        <v>1150</v>
      </c>
      <c r="D10" s="404">
        <v>670.15</v>
      </c>
      <c r="E10" s="405">
        <f>82417+2082</f>
        <v>84499</v>
      </c>
      <c r="F10" s="406">
        <f>84782+2224</f>
        <v>87006</v>
      </c>
      <c r="G10" s="407">
        <f>84781.429+2223.115</f>
        <v>87004.54400000001</v>
      </c>
      <c r="H10" s="408">
        <v>28846</v>
      </c>
      <c r="I10" s="409">
        <v>30165</v>
      </c>
      <c r="J10" s="410">
        <v>30128.385</v>
      </c>
      <c r="K10" s="408">
        <v>1649</v>
      </c>
      <c r="L10" s="411">
        <v>1696</v>
      </c>
      <c r="M10" s="410">
        <v>1694.504</v>
      </c>
      <c r="N10" s="408">
        <v>20477</v>
      </c>
      <c r="O10" s="412">
        <v>28816</v>
      </c>
      <c r="P10" s="410">
        <v>28822.169</v>
      </c>
      <c r="Q10" s="405">
        <f>13830+3270</f>
        <v>17100</v>
      </c>
      <c r="R10" s="406">
        <f>13252+6843</f>
        <v>20095</v>
      </c>
      <c r="S10" s="407">
        <v>20076.845</v>
      </c>
      <c r="T10" s="408"/>
      <c r="U10" s="411"/>
      <c r="V10" s="407"/>
      <c r="W10" s="413"/>
      <c r="X10" s="408">
        <f t="shared" si="0"/>
        <v>152571</v>
      </c>
      <c r="Y10" s="411">
        <f t="shared" si="0"/>
        <v>167778</v>
      </c>
      <c r="Z10" s="410">
        <f t="shared" si="1"/>
        <v>167726.44700000001</v>
      </c>
      <c r="AA10" s="370"/>
      <c r="AB10" s="370"/>
      <c r="AC10" s="370"/>
      <c r="AD10" s="370"/>
      <c r="AE10" s="370"/>
    </row>
    <row r="11" spans="1:31" ht="24.75" customHeight="1">
      <c r="A11" s="405" t="s">
        <v>1603</v>
      </c>
      <c r="B11" s="414">
        <v>2360</v>
      </c>
      <c r="C11" s="415">
        <v>2360</v>
      </c>
      <c r="D11" s="399">
        <v>2022.921</v>
      </c>
      <c r="E11" s="414">
        <f>98807+1979</f>
        <v>100786</v>
      </c>
      <c r="F11" s="415">
        <f>102063+2282</f>
        <v>104345</v>
      </c>
      <c r="G11" s="399">
        <f>102062.826+2134.583</f>
        <v>104197.409</v>
      </c>
      <c r="H11" s="408">
        <v>34583</v>
      </c>
      <c r="I11" s="370">
        <v>36152</v>
      </c>
      <c r="J11" s="410">
        <v>36151.976</v>
      </c>
      <c r="K11" s="408">
        <v>1976</v>
      </c>
      <c r="L11" s="398">
        <v>2042</v>
      </c>
      <c r="M11" s="399">
        <v>2040.98</v>
      </c>
      <c r="N11" s="397">
        <v>28209</v>
      </c>
      <c r="O11" s="398">
        <v>44036</v>
      </c>
      <c r="P11" s="399">
        <v>40373.742</v>
      </c>
      <c r="Q11" s="405">
        <f>11092+6845</f>
        <v>17937</v>
      </c>
      <c r="R11" s="415">
        <f>13607+10556</f>
        <v>24163</v>
      </c>
      <c r="S11" s="399">
        <f>13601.665+10547.806</f>
        <v>24149.471</v>
      </c>
      <c r="T11" s="408"/>
      <c r="U11" s="398"/>
      <c r="V11" s="399"/>
      <c r="W11" s="416"/>
      <c r="X11" s="408">
        <f t="shared" si="0"/>
        <v>183491</v>
      </c>
      <c r="Y11" s="411">
        <f t="shared" si="0"/>
        <v>210738</v>
      </c>
      <c r="Z11" s="410">
        <f t="shared" si="1"/>
        <v>206913.578</v>
      </c>
      <c r="AA11" s="370"/>
      <c r="AB11" s="370"/>
      <c r="AC11" s="370"/>
      <c r="AD11" s="370"/>
      <c r="AE11" s="370"/>
    </row>
    <row r="12" spans="1:31" ht="24.75" customHeight="1">
      <c r="A12" s="405" t="s">
        <v>1604</v>
      </c>
      <c r="B12" s="405">
        <v>303</v>
      </c>
      <c r="C12" s="406">
        <v>333</v>
      </c>
      <c r="D12" s="407">
        <v>58.233</v>
      </c>
      <c r="E12" s="405">
        <f>31497+381</f>
        <v>31878</v>
      </c>
      <c r="F12" s="406">
        <f>32255+1145</f>
        <v>33400</v>
      </c>
      <c r="G12" s="407">
        <f>32254.998+1144.175</f>
        <v>33399.173</v>
      </c>
      <c r="H12" s="408">
        <v>11024</v>
      </c>
      <c r="I12" s="412">
        <v>11349</v>
      </c>
      <c r="J12" s="410">
        <v>11348.993</v>
      </c>
      <c r="K12" s="408">
        <v>630</v>
      </c>
      <c r="L12" s="411">
        <v>645</v>
      </c>
      <c r="M12" s="410">
        <v>644.998</v>
      </c>
      <c r="N12" s="408">
        <v>8997</v>
      </c>
      <c r="O12" s="412">
        <v>12936</v>
      </c>
      <c r="P12" s="410">
        <v>12934.267</v>
      </c>
      <c r="Q12" s="405">
        <f>2563+12123</f>
        <v>14686</v>
      </c>
      <c r="R12" s="406">
        <v>23186</v>
      </c>
      <c r="S12" s="407">
        <v>23183.677</v>
      </c>
      <c r="T12" s="408"/>
      <c r="U12" s="411"/>
      <c r="V12" s="407"/>
      <c r="W12" s="413"/>
      <c r="X12" s="408">
        <f t="shared" si="0"/>
        <v>67215</v>
      </c>
      <c r="Y12" s="411">
        <f t="shared" si="0"/>
        <v>81516</v>
      </c>
      <c r="Z12" s="410">
        <f t="shared" si="1"/>
        <v>81511.10800000001</v>
      </c>
      <c r="AA12" s="370"/>
      <c r="AB12" s="370"/>
      <c r="AC12" s="370"/>
      <c r="AD12" s="370"/>
      <c r="AE12" s="370"/>
    </row>
    <row r="13" spans="1:31" ht="24.75" customHeight="1">
      <c r="A13" s="405" t="s">
        <v>1605</v>
      </c>
      <c r="B13" s="414">
        <v>415</v>
      </c>
      <c r="C13" s="415">
        <v>1008</v>
      </c>
      <c r="D13" s="399">
        <v>999.08</v>
      </c>
      <c r="E13" s="414">
        <f>33202+568</f>
        <v>33770</v>
      </c>
      <c r="F13" s="415">
        <f>33615+702</f>
        <v>34317</v>
      </c>
      <c r="G13" s="399">
        <f>33431.263+607.457</f>
        <v>34038.72</v>
      </c>
      <c r="H13" s="408">
        <v>11620</v>
      </c>
      <c r="I13" s="370">
        <v>11835</v>
      </c>
      <c r="J13" s="410">
        <v>11777.426</v>
      </c>
      <c r="K13" s="408">
        <v>664</v>
      </c>
      <c r="L13" s="398">
        <v>672</v>
      </c>
      <c r="M13" s="399">
        <v>668.626</v>
      </c>
      <c r="N13" s="397">
        <v>9833</v>
      </c>
      <c r="O13" s="370">
        <v>11881</v>
      </c>
      <c r="P13" s="417">
        <v>11832.296</v>
      </c>
      <c r="Q13" s="405">
        <v>14279</v>
      </c>
      <c r="R13" s="415">
        <v>14294</v>
      </c>
      <c r="S13" s="399">
        <v>14286.577</v>
      </c>
      <c r="T13" s="408"/>
      <c r="U13" s="398"/>
      <c r="V13" s="399"/>
      <c r="W13" s="416"/>
      <c r="X13" s="408">
        <f t="shared" si="0"/>
        <v>70166</v>
      </c>
      <c r="Y13" s="411">
        <f t="shared" si="0"/>
        <v>72999</v>
      </c>
      <c r="Z13" s="410">
        <f t="shared" si="1"/>
        <v>72603.645</v>
      </c>
      <c r="AA13" s="370"/>
      <c r="AB13" s="370"/>
      <c r="AC13" s="370"/>
      <c r="AD13" s="370"/>
      <c r="AE13" s="370"/>
    </row>
    <row r="14" spans="1:31" ht="24.75" customHeight="1">
      <c r="A14" s="405" t="s">
        <v>837</v>
      </c>
      <c r="B14" s="405"/>
      <c r="C14" s="406">
        <v>144</v>
      </c>
      <c r="D14" s="407">
        <v>153.806</v>
      </c>
      <c r="E14" s="405">
        <f>14741+217</f>
        <v>14958</v>
      </c>
      <c r="F14" s="406">
        <f>14783+301</f>
        <v>15084</v>
      </c>
      <c r="G14" s="407">
        <f>14782.161+300.81</f>
        <v>15082.971</v>
      </c>
      <c r="H14" s="408">
        <v>5159</v>
      </c>
      <c r="I14" s="412">
        <v>5205</v>
      </c>
      <c r="J14" s="410">
        <v>5204.861</v>
      </c>
      <c r="K14" s="408">
        <v>295</v>
      </c>
      <c r="L14" s="411">
        <v>296</v>
      </c>
      <c r="M14" s="410">
        <v>296</v>
      </c>
      <c r="N14" s="397">
        <v>1492</v>
      </c>
      <c r="O14" s="398">
        <v>2212</v>
      </c>
      <c r="P14" s="399">
        <v>2211.723</v>
      </c>
      <c r="Q14" s="405">
        <v>3506</v>
      </c>
      <c r="R14" s="406">
        <v>2786</v>
      </c>
      <c r="S14" s="407">
        <v>2771.171</v>
      </c>
      <c r="T14" s="408"/>
      <c r="U14" s="411"/>
      <c r="V14" s="407"/>
      <c r="W14" s="413"/>
      <c r="X14" s="408">
        <f t="shared" si="0"/>
        <v>25410</v>
      </c>
      <c r="Y14" s="411">
        <f t="shared" si="0"/>
        <v>25583</v>
      </c>
      <c r="Z14" s="410">
        <f t="shared" si="1"/>
        <v>25566.726</v>
      </c>
      <c r="AA14" s="370"/>
      <c r="AB14" s="370"/>
      <c r="AC14" s="370"/>
      <c r="AD14" s="370"/>
      <c r="AE14" s="370"/>
    </row>
    <row r="15" spans="1:31" ht="24.75" customHeight="1" thickBot="1">
      <c r="A15" s="405" t="s">
        <v>838</v>
      </c>
      <c r="B15" s="405">
        <v>500</v>
      </c>
      <c r="C15" s="406">
        <v>958</v>
      </c>
      <c r="D15" s="407">
        <v>870.916</v>
      </c>
      <c r="E15" s="405">
        <f>134043+2470</f>
        <v>136513</v>
      </c>
      <c r="F15" s="406">
        <f>139243+377</f>
        <v>139620</v>
      </c>
      <c r="G15" s="407">
        <v>139688.781</v>
      </c>
      <c r="H15" s="408">
        <v>46915</v>
      </c>
      <c r="I15" s="412">
        <v>48090</v>
      </c>
      <c r="J15" s="410">
        <f>47962.437</f>
        <v>47962.437</v>
      </c>
      <c r="K15" s="408">
        <v>2680</v>
      </c>
      <c r="L15" s="411">
        <v>2742</v>
      </c>
      <c r="M15" s="407">
        <v>2740.825</v>
      </c>
      <c r="N15" s="408">
        <f>42634-1750</f>
        <v>40884</v>
      </c>
      <c r="O15" s="412">
        <f>57414-1533-1090</f>
        <v>54791</v>
      </c>
      <c r="P15" s="410">
        <f>57929.531-1082.009-1530.999</f>
        <v>55316.523</v>
      </c>
      <c r="Q15" s="405">
        <v>26274</v>
      </c>
      <c r="R15" s="406">
        <v>27194</v>
      </c>
      <c r="S15" s="407">
        <v>30855.589</v>
      </c>
      <c r="T15" s="408">
        <v>1750</v>
      </c>
      <c r="U15" s="411">
        <f>377+2623</f>
        <v>3000</v>
      </c>
      <c r="V15" s="407">
        <f>1623.009+1806.699</f>
        <v>3429.708</v>
      </c>
      <c r="W15" s="413"/>
      <c r="X15" s="408">
        <f>T15+Q15+N15+K15+H15+E15</f>
        <v>255016</v>
      </c>
      <c r="Y15" s="411">
        <f>U15+R15+O15+L15+I15+F15-377</f>
        <v>275060</v>
      </c>
      <c r="Z15" s="410">
        <f>G15+J15+M15+P15+S15+V15+W15-816.7</f>
        <v>279177.16299999994</v>
      </c>
      <c r="AA15" s="370"/>
      <c r="AB15" s="370"/>
      <c r="AC15" s="370"/>
      <c r="AD15" s="370"/>
      <c r="AE15" s="370"/>
    </row>
    <row r="16" spans="1:31" ht="27.75" customHeight="1" thickBot="1">
      <c r="A16" s="418" t="s">
        <v>839</v>
      </c>
      <c r="B16" s="419">
        <f aca="true" t="shared" si="2" ref="B16:Z16">SUM(B9:B15)</f>
        <v>5578</v>
      </c>
      <c r="C16" s="420">
        <f t="shared" si="2"/>
        <v>7402</v>
      </c>
      <c r="D16" s="421">
        <f t="shared" si="2"/>
        <v>6239.635</v>
      </c>
      <c r="E16" s="419">
        <f t="shared" si="2"/>
        <v>520589</v>
      </c>
      <c r="F16" s="420">
        <f t="shared" si="2"/>
        <v>535597</v>
      </c>
      <c r="G16" s="421">
        <f t="shared" si="2"/>
        <v>535369.804</v>
      </c>
      <c r="H16" s="419">
        <f t="shared" si="2"/>
        <v>178846</v>
      </c>
      <c r="I16" s="420">
        <f t="shared" si="2"/>
        <v>184839</v>
      </c>
      <c r="J16" s="421">
        <f t="shared" si="2"/>
        <v>184608.356</v>
      </c>
      <c r="K16" s="419">
        <f t="shared" si="2"/>
        <v>10219</v>
      </c>
      <c r="L16" s="420">
        <f t="shared" si="2"/>
        <v>10494</v>
      </c>
      <c r="M16" s="421">
        <f t="shared" si="2"/>
        <v>10486.933</v>
      </c>
      <c r="N16" s="419">
        <f t="shared" si="2"/>
        <v>149931</v>
      </c>
      <c r="O16" s="420">
        <f t="shared" si="2"/>
        <v>204150</v>
      </c>
      <c r="P16" s="421">
        <f t="shared" si="2"/>
        <v>201419.49199999997</v>
      </c>
      <c r="Q16" s="419">
        <f t="shared" si="2"/>
        <v>126997</v>
      </c>
      <c r="R16" s="420">
        <f t="shared" si="2"/>
        <v>149009</v>
      </c>
      <c r="S16" s="421">
        <f t="shared" si="2"/>
        <v>172113.768</v>
      </c>
      <c r="T16" s="419">
        <f t="shared" si="2"/>
        <v>1750</v>
      </c>
      <c r="U16" s="420">
        <f t="shared" si="2"/>
        <v>3000</v>
      </c>
      <c r="V16" s="421">
        <f t="shared" si="2"/>
        <v>3429.708</v>
      </c>
      <c r="W16" s="422">
        <f t="shared" si="2"/>
        <v>0</v>
      </c>
      <c r="X16" s="419">
        <f t="shared" si="2"/>
        <v>988332</v>
      </c>
      <c r="Y16" s="420">
        <f t="shared" si="2"/>
        <v>1086712</v>
      </c>
      <c r="Z16" s="421">
        <f t="shared" si="2"/>
        <v>1106611.361</v>
      </c>
      <c r="AA16" s="423"/>
      <c r="AB16" s="423"/>
      <c r="AC16" s="423"/>
      <c r="AD16" s="423"/>
      <c r="AE16" s="423"/>
    </row>
    <row r="17" spans="1:31" ht="24.75" customHeight="1" thickBot="1">
      <c r="A17" s="424" t="s">
        <v>840</v>
      </c>
      <c r="B17" s="393"/>
      <c r="C17" s="391"/>
      <c r="D17" s="396"/>
      <c r="E17" s="393">
        <f>7256+89</f>
        <v>7345</v>
      </c>
      <c r="F17" s="391">
        <f>7536+100</f>
        <v>7636</v>
      </c>
      <c r="G17" s="396">
        <f>7535.38+100</f>
        <v>7635.38</v>
      </c>
      <c r="H17" s="393">
        <v>2540</v>
      </c>
      <c r="I17" s="391">
        <v>2638</v>
      </c>
      <c r="J17" s="396">
        <v>2634.084</v>
      </c>
      <c r="K17" s="393">
        <v>145</v>
      </c>
      <c r="L17" s="391">
        <v>150</v>
      </c>
      <c r="M17" s="396">
        <v>150</v>
      </c>
      <c r="N17" s="393">
        <v>4156</v>
      </c>
      <c r="O17" s="391">
        <v>5353</v>
      </c>
      <c r="P17" s="396">
        <v>5350.974</v>
      </c>
      <c r="Q17" s="393">
        <v>4210</v>
      </c>
      <c r="R17" s="391">
        <v>4210</v>
      </c>
      <c r="S17" s="396">
        <v>4206.717</v>
      </c>
      <c r="T17" s="393"/>
      <c r="U17" s="391"/>
      <c r="V17" s="396"/>
      <c r="W17" s="400"/>
      <c r="X17" s="393">
        <f>T17+Q17+N17+K17+H17+E17</f>
        <v>18396</v>
      </c>
      <c r="Y17" s="391">
        <f>U17+R17+O17+L17+I17+F17</f>
        <v>19987</v>
      </c>
      <c r="Z17" s="396">
        <f>G17+J17+M17+P17+S17+V17+W17</f>
        <v>19977.155</v>
      </c>
      <c r="AA17" s="370"/>
      <c r="AB17" s="370"/>
      <c r="AC17" s="370"/>
      <c r="AD17" s="370"/>
      <c r="AE17" s="370"/>
    </row>
    <row r="18" spans="1:31" ht="24.75" customHeight="1" thickBot="1">
      <c r="A18" s="414" t="s">
        <v>841</v>
      </c>
      <c r="B18" s="393"/>
      <c r="C18" s="391"/>
      <c r="D18" s="396"/>
      <c r="E18" s="393">
        <v>10016</v>
      </c>
      <c r="F18" s="391"/>
      <c r="G18" s="396"/>
      <c r="H18" s="393">
        <v>3150</v>
      </c>
      <c r="I18" s="391"/>
      <c r="J18" s="396"/>
      <c r="K18" s="393">
        <v>181</v>
      </c>
      <c r="L18" s="391"/>
      <c r="M18" s="396"/>
      <c r="N18" s="393"/>
      <c r="O18" s="391"/>
      <c r="P18" s="396"/>
      <c r="Q18" s="393"/>
      <c r="R18" s="391"/>
      <c r="S18" s="396"/>
      <c r="T18" s="393"/>
      <c r="U18" s="391"/>
      <c r="V18" s="396"/>
      <c r="W18" s="400"/>
      <c r="X18" s="393">
        <f>E18+H18+K18+N18+Q18+T18</f>
        <v>13347</v>
      </c>
      <c r="Y18" s="391"/>
      <c r="Z18" s="396"/>
      <c r="AA18" s="370"/>
      <c r="AB18" s="370"/>
      <c r="AC18" s="370"/>
      <c r="AD18" s="370"/>
      <c r="AE18" s="370"/>
    </row>
    <row r="19" spans="1:31" ht="30" customHeight="1" thickBot="1">
      <c r="A19" s="418" t="s">
        <v>842</v>
      </c>
      <c r="B19" s="419">
        <f>SUM(B16:B17)</f>
        <v>5578</v>
      </c>
      <c r="C19" s="420">
        <f>SUM(C16:C17)</f>
        <v>7402</v>
      </c>
      <c r="D19" s="421">
        <f>SUM(D16:D17)</f>
        <v>6239.635</v>
      </c>
      <c r="E19" s="419">
        <f aca="true" t="shared" si="3" ref="E19:Z19">SUM(E16:E18)</f>
        <v>537950</v>
      </c>
      <c r="F19" s="419">
        <f t="shared" si="3"/>
        <v>543233</v>
      </c>
      <c r="G19" s="419">
        <f t="shared" si="3"/>
        <v>543005.184</v>
      </c>
      <c r="H19" s="419">
        <f t="shared" si="3"/>
        <v>184536</v>
      </c>
      <c r="I19" s="419">
        <f t="shared" si="3"/>
        <v>187477</v>
      </c>
      <c r="J19" s="419">
        <f t="shared" si="3"/>
        <v>187242.44</v>
      </c>
      <c r="K19" s="419">
        <f t="shared" si="3"/>
        <v>10545</v>
      </c>
      <c r="L19" s="419">
        <f t="shared" si="3"/>
        <v>10644</v>
      </c>
      <c r="M19" s="419">
        <f t="shared" si="3"/>
        <v>10636.933</v>
      </c>
      <c r="N19" s="419">
        <f t="shared" si="3"/>
        <v>154087</v>
      </c>
      <c r="O19" s="419">
        <f t="shared" si="3"/>
        <v>209503</v>
      </c>
      <c r="P19" s="419">
        <f t="shared" si="3"/>
        <v>206770.46599999996</v>
      </c>
      <c r="Q19" s="419">
        <f t="shared" si="3"/>
        <v>131207</v>
      </c>
      <c r="R19" s="419">
        <f t="shared" si="3"/>
        <v>153219</v>
      </c>
      <c r="S19" s="419">
        <f t="shared" si="3"/>
        <v>176320.48500000002</v>
      </c>
      <c r="T19" s="419">
        <f t="shared" si="3"/>
        <v>1750</v>
      </c>
      <c r="U19" s="419">
        <f t="shared" si="3"/>
        <v>3000</v>
      </c>
      <c r="V19" s="419">
        <f t="shared" si="3"/>
        <v>3429.708</v>
      </c>
      <c r="W19" s="419">
        <f t="shared" si="3"/>
        <v>0</v>
      </c>
      <c r="X19" s="419">
        <f t="shared" si="3"/>
        <v>1020075</v>
      </c>
      <c r="Y19" s="419">
        <f t="shared" si="3"/>
        <v>1106699</v>
      </c>
      <c r="Z19" s="419">
        <f t="shared" si="3"/>
        <v>1126588.516</v>
      </c>
      <c r="AA19" s="423"/>
      <c r="AB19" s="423"/>
      <c r="AC19" s="423"/>
      <c r="AD19" s="423"/>
      <c r="AE19" s="423"/>
    </row>
    <row r="22" spans="1:26" s="427" customFormat="1" ht="19.5" customHeight="1">
      <c r="A22" s="427" t="s">
        <v>844</v>
      </c>
      <c r="M22" s="365" t="s">
        <v>1572</v>
      </c>
      <c r="P22" s="365"/>
      <c r="Q22" s="365"/>
      <c r="R22" s="365"/>
      <c r="S22" s="365"/>
      <c r="X22" s="1314" t="s">
        <v>1573</v>
      </c>
      <c r="Y22" s="1314"/>
      <c r="Z22" s="1314"/>
    </row>
    <row r="23" ht="19.5" customHeight="1">
      <c r="O23" s="370"/>
    </row>
    <row r="25" ht="19.5" customHeight="1">
      <c r="G25" s="425"/>
    </row>
  </sheetData>
  <mergeCells count="7">
    <mergeCell ref="Y3:Z3"/>
    <mergeCell ref="X22:Z22"/>
    <mergeCell ref="A4:Z4"/>
    <mergeCell ref="B7:D7"/>
    <mergeCell ref="E7:G7"/>
    <mergeCell ref="Q7:S7"/>
    <mergeCell ref="T7:V7"/>
  </mergeCells>
  <printOptions horizontalCentered="1"/>
  <pageMargins left="0.3937007874015748" right="0.3937007874015748" top="0.984251968503937" bottom="0.7874015748031497" header="0.7086614173228347" footer="0.31496062992125984"/>
  <pageSetup fitToHeight="1" fitToWidth="1" horizontalDpi="600" verticalDpi="600" orientation="landscape" paperSize="9" scale="57" r:id="rId1"/>
  <headerFooter alignWithMargins="0">
    <oddFooter>&amp;C&amp;16&amp;P+181
&amp;18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32"/>
  <sheetViews>
    <sheetView workbookViewId="0" topLeftCell="A1">
      <selection activeCell="C22" sqref="C22"/>
    </sheetView>
  </sheetViews>
  <sheetFormatPr defaultColWidth="9.00390625" defaultRowHeight="12.75"/>
  <cols>
    <col min="1" max="1" width="31.00390625" style="0" customWidth="1"/>
    <col min="2" max="2" width="9.00390625" style="0" customWidth="1"/>
    <col min="3" max="3" width="8.75390625" style="0" customWidth="1"/>
    <col min="4" max="4" width="10.375" style="0" customWidth="1"/>
    <col min="5" max="5" width="7.875" style="0" customWidth="1"/>
    <col min="6" max="6" width="8.125" style="0" customWidth="1"/>
    <col min="8" max="8" width="8.25390625" style="0" customWidth="1"/>
    <col min="9" max="9" width="8.125" style="0" customWidth="1"/>
    <col min="10" max="10" width="8.75390625" style="0" customWidth="1"/>
    <col min="11" max="12" width="8.375" style="0" customWidth="1"/>
    <col min="13" max="13" width="8.25390625" style="0" customWidth="1"/>
    <col min="14" max="14" width="10.875" style="0" customWidth="1"/>
    <col min="15" max="15" width="8.625" style="0" customWidth="1"/>
    <col min="16" max="16" width="11.00390625" style="0" customWidth="1"/>
    <col min="17" max="17" width="7.75390625" style="0" customWidth="1"/>
    <col min="18" max="18" width="8.00390625" style="0" customWidth="1"/>
    <col min="19" max="19" width="8.375" style="0" customWidth="1"/>
    <col min="20" max="20" width="10.125" style="0" hidden="1" customWidth="1"/>
    <col min="21" max="22" width="9.875" style="0" customWidth="1"/>
    <col min="23" max="23" width="11.375" style="0" customWidth="1"/>
  </cols>
  <sheetData>
    <row r="2" spans="1:23" s="363" customFormat="1" ht="15.75">
      <c r="A2" s="363" t="s">
        <v>1543</v>
      </c>
      <c r="V2" s="1322" t="s">
        <v>833</v>
      </c>
      <c r="W2" s="1322"/>
    </row>
    <row r="3" spans="22:23" s="361" customFormat="1" ht="23.25" customHeight="1">
      <c r="V3" s="362"/>
      <c r="W3" s="362"/>
    </row>
    <row r="4" spans="1:24" s="364" customFormat="1" ht="18.75">
      <c r="A4" s="365"/>
      <c r="B4" s="365"/>
      <c r="C4" s="365"/>
      <c r="D4" s="365"/>
      <c r="E4" s="365"/>
      <c r="F4" s="365"/>
      <c r="G4" s="365"/>
      <c r="H4" s="148" t="s">
        <v>1544</v>
      </c>
      <c r="I4" s="148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6"/>
    </row>
    <row r="5" spans="1:24" ht="12.7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30"/>
    </row>
    <row r="6" spans="1:24" ht="13.5" thickBot="1">
      <c r="A6" s="149"/>
      <c r="B6" s="142"/>
      <c r="C6" s="142"/>
      <c r="D6" s="142"/>
      <c r="E6" s="142"/>
      <c r="F6" s="142"/>
      <c r="G6" s="142"/>
      <c r="H6" s="142"/>
      <c r="I6" s="150"/>
      <c r="J6" s="142"/>
      <c r="K6" s="142"/>
      <c r="L6" s="142"/>
      <c r="M6" s="142"/>
      <c r="N6" s="151"/>
      <c r="O6" s="151"/>
      <c r="P6" s="151"/>
      <c r="Q6" s="151"/>
      <c r="R6" s="151"/>
      <c r="S6" s="152"/>
      <c r="T6" s="152"/>
      <c r="U6" s="151"/>
      <c r="V6" s="151"/>
      <c r="W6" s="152" t="s">
        <v>1545</v>
      </c>
      <c r="X6" s="153"/>
    </row>
    <row r="7" spans="1:24" ht="18" customHeight="1" thickBot="1">
      <c r="A7" s="154"/>
      <c r="B7" s="155" t="s">
        <v>1546</v>
      </c>
      <c r="C7" s="156"/>
      <c r="D7" s="157"/>
      <c r="E7" s="158"/>
      <c r="F7" s="159" t="s">
        <v>1547</v>
      </c>
      <c r="G7" s="156"/>
      <c r="H7" s="158"/>
      <c r="I7" s="159" t="s">
        <v>1548</v>
      </c>
      <c r="J7" s="157"/>
      <c r="K7" s="156"/>
      <c r="L7" s="159" t="s">
        <v>1549</v>
      </c>
      <c r="M7" s="157"/>
      <c r="N7" s="158"/>
      <c r="O7" s="159" t="s">
        <v>1550</v>
      </c>
      <c r="P7" s="157"/>
      <c r="Q7" s="158"/>
      <c r="R7" s="159" t="s">
        <v>1551</v>
      </c>
      <c r="S7" s="157"/>
      <c r="T7" s="160" t="s">
        <v>1552</v>
      </c>
      <c r="U7" s="161"/>
      <c r="V7" s="159" t="s">
        <v>1553</v>
      </c>
      <c r="W7" s="162"/>
      <c r="X7" s="163"/>
    </row>
    <row r="8" spans="1:24" ht="20.25" customHeight="1">
      <c r="A8" s="164" t="s">
        <v>1554</v>
      </c>
      <c r="B8" s="165" t="s">
        <v>1555</v>
      </c>
      <c r="C8" s="166" t="s">
        <v>1556</v>
      </c>
      <c r="D8" s="167" t="s">
        <v>1557</v>
      </c>
      <c r="E8" s="165" t="s">
        <v>1555</v>
      </c>
      <c r="F8" s="168" t="s">
        <v>1556</v>
      </c>
      <c r="G8" s="167" t="s">
        <v>1557</v>
      </c>
      <c r="H8" s="165" t="s">
        <v>1555</v>
      </c>
      <c r="I8" s="168" t="s">
        <v>1556</v>
      </c>
      <c r="J8" s="167" t="s">
        <v>1557</v>
      </c>
      <c r="K8" s="165" t="s">
        <v>1555</v>
      </c>
      <c r="L8" s="168" t="s">
        <v>1556</v>
      </c>
      <c r="M8" s="167" t="s">
        <v>1557</v>
      </c>
      <c r="N8" s="165" t="s">
        <v>1555</v>
      </c>
      <c r="O8" s="166" t="s">
        <v>1556</v>
      </c>
      <c r="P8" s="169" t="s">
        <v>1557</v>
      </c>
      <c r="Q8" s="170" t="s">
        <v>1555</v>
      </c>
      <c r="R8" s="171" t="s">
        <v>1556</v>
      </c>
      <c r="S8" s="167" t="s">
        <v>1557</v>
      </c>
      <c r="T8" s="164" t="s">
        <v>1558</v>
      </c>
      <c r="U8" s="170" t="s">
        <v>1555</v>
      </c>
      <c r="V8" s="171" t="s">
        <v>1556</v>
      </c>
      <c r="W8" s="167" t="s">
        <v>1557</v>
      </c>
      <c r="X8" s="163"/>
    </row>
    <row r="9" spans="1:24" ht="4.5" customHeight="1" thickBot="1">
      <c r="A9" s="172"/>
      <c r="B9" s="173"/>
      <c r="C9" s="174"/>
      <c r="D9" s="175"/>
      <c r="E9" s="176"/>
      <c r="F9" s="177"/>
      <c r="G9" s="178"/>
      <c r="H9" s="179"/>
      <c r="I9" s="180"/>
      <c r="J9" s="181"/>
      <c r="K9" s="176"/>
      <c r="L9" s="180"/>
      <c r="M9" s="181"/>
      <c r="N9" s="180"/>
      <c r="O9" s="182"/>
      <c r="P9" s="183"/>
      <c r="Q9" s="179"/>
      <c r="R9" s="176"/>
      <c r="S9" s="175"/>
      <c r="T9" s="184"/>
      <c r="U9" s="185"/>
      <c r="V9" s="186"/>
      <c r="W9" s="175"/>
      <c r="X9" s="187"/>
    </row>
    <row r="10" spans="1:24" ht="19.5" customHeight="1">
      <c r="A10" s="188" t="s">
        <v>1559</v>
      </c>
      <c r="B10" s="189">
        <v>40682</v>
      </c>
      <c r="C10" s="190">
        <f>40682+375</f>
        <v>41057</v>
      </c>
      <c r="D10" s="191">
        <f>39680+1377</f>
        <v>41057</v>
      </c>
      <c r="E10" s="192">
        <v>13888</v>
      </c>
      <c r="F10" s="193">
        <f>13998+28</f>
        <v>14026</v>
      </c>
      <c r="G10" s="194">
        <v>14026</v>
      </c>
      <c r="H10" s="195">
        <v>794</v>
      </c>
      <c r="I10" s="196">
        <v>794</v>
      </c>
      <c r="J10" s="191">
        <v>794</v>
      </c>
      <c r="K10" s="192">
        <v>38020</v>
      </c>
      <c r="L10" s="193">
        <v>40854</v>
      </c>
      <c r="M10" s="197">
        <f>41249.241+12.44+58.85</f>
        <v>41320.531</v>
      </c>
      <c r="N10" s="193">
        <v>8224</v>
      </c>
      <c r="O10" s="190">
        <v>14374</v>
      </c>
      <c r="P10" s="193">
        <v>9873.309</v>
      </c>
      <c r="Q10" s="195">
        <v>1400</v>
      </c>
      <c r="R10" s="192">
        <f>403+400+995</f>
        <v>1798</v>
      </c>
      <c r="S10" s="191">
        <f>400+1417.319</f>
        <v>1817.319</v>
      </c>
      <c r="T10" s="198"/>
      <c r="U10" s="192">
        <f aca="true" t="shared" si="0" ref="U10:V16">B10+E10+H10+K10+N10+Q10</f>
        <v>103008</v>
      </c>
      <c r="V10" s="190">
        <f>C10+F10+I10+L10+O10+R10-403</f>
        <v>112500</v>
      </c>
      <c r="W10" s="191">
        <f>D10+G10+J10+M10+P10+S10+T10-403</f>
        <v>108485.159</v>
      </c>
      <c r="X10" s="199"/>
    </row>
    <row r="11" spans="1:24" ht="19.5" customHeight="1">
      <c r="A11" s="188" t="s">
        <v>1560</v>
      </c>
      <c r="B11" s="200">
        <v>40035</v>
      </c>
      <c r="C11" s="201">
        <v>40137</v>
      </c>
      <c r="D11" s="202">
        <f>38717+1420</f>
        <v>40137</v>
      </c>
      <c r="E11" s="203">
        <v>13551</v>
      </c>
      <c r="F11" s="204">
        <v>13976</v>
      </c>
      <c r="G11" s="205">
        <v>13976</v>
      </c>
      <c r="H11" s="206">
        <v>774</v>
      </c>
      <c r="I11" s="203">
        <v>774</v>
      </c>
      <c r="J11" s="207">
        <v>774</v>
      </c>
      <c r="K11" s="203">
        <v>22103</v>
      </c>
      <c r="L11" s="204">
        <v>22769</v>
      </c>
      <c r="M11" s="207">
        <f>22708.743+13+20</f>
        <v>22741.743</v>
      </c>
      <c r="N11" s="204">
        <v>5060</v>
      </c>
      <c r="O11" s="201">
        <v>7870</v>
      </c>
      <c r="P11" s="204">
        <v>7869.325</v>
      </c>
      <c r="Q11" s="206"/>
      <c r="R11" s="203"/>
      <c r="S11" s="202"/>
      <c r="T11" s="208"/>
      <c r="U11" s="203">
        <f t="shared" si="0"/>
        <v>81523</v>
      </c>
      <c r="V11" s="201">
        <f t="shared" si="0"/>
        <v>85526</v>
      </c>
      <c r="W11" s="202">
        <f>D11+G11+J11+M11+P11+S11+T11</f>
        <v>85498.068</v>
      </c>
      <c r="X11" s="199"/>
    </row>
    <row r="12" spans="1:24" ht="19.5" customHeight="1">
      <c r="A12" s="209" t="s">
        <v>1561</v>
      </c>
      <c r="B12" s="210">
        <v>30344</v>
      </c>
      <c r="C12" s="190">
        <f>30344+208</f>
        <v>30552</v>
      </c>
      <c r="D12" s="191">
        <f>30136+416</f>
        <v>30552</v>
      </c>
      <c r="E12" s="203">
        <v>10475</v>
      </c>
      <c r="F12" s="193">
        <f>10511+73</f>
        <v>10584</v>
      </c>
      <c r="G12" s="205">
        <v>10583.804</v>
      </c>
      <c r="H12" s="206">
        <v>599</v>
      </c>
      <c r="I12" s="192">
        <f>599+4</f>
        <v>603</v>
      </c>
      <c r="J12" s="191">
        <v>602.56</v>
      </c>
      <c r="K12" s="192">
        <v>10026</v>
      </c>
      <c r="L12" s="193">
        <v>11062</v>
      </c>
      <c r="M12" s="197">
        <f>10403.408+10.645</f>
        <v>10414.053</v>
      </c>
      <c r="N12" s="204">
        <v>4075</v>
      </c>
      <c r="O12" s="190">
        <v>25048</v>
      </c>
      <c r="P12" s="193">
        <v>25035.528</v>
      </c>
      <c r="Q12" s="206"/>
      <c r="R12" s="192">
        <f>281+187</f>
        <v>468</v>
      </c>
      <c r="S12" s="191">
        <v>467.804</v>
      </c>
      <c r="T12" s="211"/>
      <c r="U12" s="203">
        <f t="shared" si="0"/>
        <v>55519</v>
      </c>
      <c r="V12" s="201">
        <f>C12+F12+I12+L12+O12+R12-208-77</f>
        <v>78032</v>
      </c>
      <c r="W12" s="202">
        <f>D12+G12+J12+M12+P12+S12+T12-280.804-4</f>
        <v>77370.945</v>
      </c>
      <c r="X12" s="199"/>
    </row>
    <row r="13" spans="1:24" ht="19.5" customHeight="1">
      <c r="A13" s="209" t="s">
        <v>1562</v>
      </c>
      <c r="B13" s="200">
        <v>32699</v>
      </c>
      <c r="C13" s="201">
        <v>33049</v>
      </c>
      <c r="D13" s="202">
        <f>31598+1451</f>
        <v>33049</v>
      </c>
      <c r="E13" s="203">
        <v>11059</v>
      </c>
      <c r="F13" s="204">
        <v>11385</v>
      </c>
      <c r="G13" s="205">
        <v>11385</v>
      </c>
      <c r="H13" s="206">
        <v>632</v>
      </c>
      <c r="I13" s="203">
        <v>632</v>
      </c>
      <c r="J13" s="207">
        <v>631.96</v>
      </c>
      <c r="K13" s="203">
        <v>10844</v>
      </c>
      <c r="L13" s="204">
        <v>13142</v>
      </c>
      <c r="M13" s="207">
        <f>12113.425+13</f>
        <v>12126.425</v>
      </c>
      <c r="N13" s="204">
        <v>8654</v>
      </c>
      <c r="O13" s="201">
        <v>17554</v>
      </c>
      <c r="P13" s="204">
        <v>17522.036</v>
      </c>
      <c r="Q13" s="206"/>
      <c r="R13" s="203"/>
      <c r="S13" s="202"/>
      <c r="T13" s="208"/>
      <c r="U13" s="203">
        <f t="shared" si="0"/>
        <v>63888</v>
      </c>
      <c r="V13" s="201">
        <f t="shared" si="0"/>
        <v>75762</v>
      </c>
      <c r="W13" s="202">
        <f>D13+G13+J13+M13+P13+S13+T13</f>
        <v>74714.421</v>
      </c>
      <c r="X13" s="199"/>
    </row>
    <row r="14" spans="1:24" ht="19.5" customHeight="1">
      <c r="A14" s="209" t="s">
        <v>1563</v>
      </c>
      <c r="B14" s="210">
        <v>31303</v>
      </c>
      <c r="C14" s="190">
        <f>31328+200</f>
        <v>31528</v>
      </c>
      <c r="D14" s="191">
        <f>29829+1699</f>
        <v>31528</v>
      </c>
      <c r="E14" s="203">
        <v>10440</v>
      </c>
      <c r="F14" s="193">
        <f>10896+43</f>
        <v>10939</v>
      </c>
      <c r="G14" s="205">
        <v>10938.002</v>
      </c>
      <c r="H14" s="206">
        <v>597</v>
      </c>
      <c r="I14" s="192">
        <v>597</v>
      </c>
      <c r="J14" s="191">
        <v>596.579</v>
      </c>
      <c r="K14" s="192">
        <v>11895</v>
      </c>
      <c r="L14" s="193">
        <v>16694</v>
      </c>
      <c r="M14" s="197">
        <f>16650.44+16.277+25</f>
        <v>16691.716999999997</v>
      </c>
      <c r="N14" s="204">
        <v>12479</v>
      </c>
      <c r="O14" s="190">
        <v>9469</v>
      </c>
      <c r="P14" s="193">
        <v>9447.904</v>
      </c>
      <c r="Q14" s="206"/>
      <c r="R14" s="192">
        <f>243+444</f>
        <v>687</v>
      </c>
      <c r="S14" s="191">
        <v>685.972</v>
      </c>
      <c r="T14" s="211"/>
      <c r="U14" s="203">
        <f t="shared" si="0"/>
        <v>66714</v>
      </c>
      <c r="V14" s="201">
        <f>C14+F14+I14+L14+O14+R14-243</f>
        <v>69671</v>
      </c>
      <c r="W14" s="202">
        <f>D14+G14+J14+M14+P14+S14+T14-242.002</f>
        <v>69646.17199999999</v>
      </c>
      <c r="X14" s="199"/>
    </row>
    <row r="15" spans="1:24" ht="19.5" customHeight="1">
      <c r="A15" s="209" t="s">
        <v>1564</v>
      </c>
      <c r="B15" s="200">
        <v>35244</v>
      </c>
      <c r="C15" s="201">
        <v>34939</v>
      </c>
      <c r="D15" s="202">
        <f>34027.414+884.957</f>
        <v>34912.371</v>
      </c>
      <c r="E15" s="203">
        <v>11910</v>
      </c>
      <c r="F15" s="204">
        <v>12190</v>
      </c>
      <c r="G15" s="205">
        <v>12135.004</v>
      </c>
      <c r="H15" s="206">
        <v>681</v>
      </c>
      <c r="I15" s="203">
        <v>681</v>
      </c>
      <c r="J15" s="207">
        <v>680.6</v>
      </c>
      <c r="K15" s="203">
        <v>17025</v>
      </c>
      <c r="L15" s="204">
        <v>18765</v>
      </c>
      <c r="M15" s="207">
        <f>18762.535+6</f>
        <v>18768.535</v>
      </c>
      <c r="N15" s="204">
        <v>4449</v>
      </c>
      <c r="O15" s="201">
        <v>5889</v>
      </c>
      <c r="P15" s="204">
        <v>5882.447</v>
      </c>
      <c r="Q15" s="206"/>
      <c r="R15" s="203"/>
      <c r="S15" s="202"/>
      <c r="T15" s="208"/>
      <c r="U15" s="203">
        <f t="shared" si="0"/>
        <v>69309</v>
      </c>
      <c r="V15" s="201">
        <f>C15+F15+I15+L15+O15+R15</f>
        <v>72464</v>
      </c>
      <c r="W15" s="202">
        <f>D15+G15+J15+M15+P15+S15+T15</f>
        <v>72378.957</v>
      </c>
      <c r="X15" s="199"/>
    </row>
    <row r="16" spans="1:24" ht="19.5" customHeight="1">
      <c r="A16" s="209" t="s">
        <v>1565</v>
      </c>
      <c r="B16" s="200">
        <v>54681</v>
      </c>
      <c r="C16" s="201">
        <v>54815</v>
      </c>
      <c r="D16" s="202">
        <f>53892+840.993</f>
        <v>54732.993</v>
      </c>
      <c r="E16" s="203">
        <v>18862</v>
      </c>
      <c r="F16" s="204">
        <v>18893</v>
      </c>
      <c r="G16" s="205">
        <v>18893</v>
      </c>
      <c r="H16" s="206">
        <v>1078</v>
      </c>
      <c r="I16" s="203">
        <v>1078</v>
      </c>
      <c r="J16" s="202">
        <v>1077.648</v>
      </c>
      <c r="K16" s="203">
        <v>49906</v>
      </c>
      <c r="L16" s="204">
        <v>67541</v>
      </c>
      <c r="M16" s="207">
        <f>67442.479+25.439+49.7</f>
        <v>67517.618</v>
      </c>
      <c r="N16" s="204">
        <v>141113</v>
      </c>
      <c r="O16" s="201">
        <v>295365</v>
      </c>
      <c r="P16" s="204">
        <v>295249.675</v>
      </c>
      <c r="Q16" s="206"/>
      <c r="R16" s="203"/>
      <c r="S16" s="202"/>
      <c r="T16" s="208"/>
      <c r="U16" s="203">
        <f t="shared" si="0"/>
        <v>265640</v>
      </c>
      <c r="V16" s="201">
        <f>C16+F16+I16+L16+O16+R16</f>
        <v>437692</v>
      </c>
      <c r="W16" s="202">
        <f>D16+G16+J16+M16+P16+S16+T16</f>
        <v>437470.934</v>
      </c>
      <c r="X16" s="199"/>
    </row>
    <row r="17" spans="1:24" ht="19.5" customHeight="1" thickBot="1">
      <c r="A17" s="209" t="s">
        <v>1566</v>
      </c>
      <c r="B17" s="210">
        <v>44526</v>
      </c>
      <c r="C17" s="190">
        <v>44526</v>
      </c>
      <c r="D17" s="191">
        <f>43650+892.5</f>
        <v>44542.5</v>
      </c>
      <c r="E17" s="192">
        <v>15278</v>
      </c>
      <c r="F17" s="193">
        <v>15440</v>
      </c>
      <c r="G17" s="194">
        <v>15440</v>
      </c>
      <c r="H17" s="195">
        <v>873</v>
      </c>
      <c r="I17" s="192">
        <v>873</v>
      </c>
      <c r="J17" s="191">
        <v>873</v>
      </c>
      <c r="K17" s="192">
        <v>30200</v>
      </c>
      <c r="L17" s="193">
        <v>38997</v>
      </c>
      <c r="M17" s="197">
        <f>39001.05+56.362</f>
        <v>39057.412000000004</v>
      </c>
      <c r="N17" s="193">
        <v>15898</v>
      </c>
      <c r="O17" s="190">
        <v>15313</v>
      </c>
      <c r="P17" s="193">
        <v>15294.812</v>
      </c>
      <c r="Q17" s="195"/>
      <c r="R17" s="192"/>
      <c r="S17" s="191"/>
      <c r="T17" s="211"/>
      <c r="U17" s="192">
        <f>B17+E17+H17+K17+N17</f>
        <v>106775</v>
      </c>
      <c r="V17" s="212">
        <f>C17+F17+I17+L17+O17</f>
        <v>115149</v>
      </c>
      <c r="W17" s="191">
        <f>D17+G17+J17+M17+P17+S17+T17</f>
        <v>115207.72400000002</v>
      </c>
      <c r="X17" s="199"/>
    </row>
    <row r="18" spans="1:24" ht="19.5" customHeight="1" hidden="1">
      <c r="A18" s="213" t="s">
        <v>1567</v>
      </c>
      <c r="B18" s="214"/>
      <c r="C18" s="215"/>
      <c r="D18" s="216"/>
      <c r="E18" s="217"/>
      <c r="F18" s="218"/>
      <c r="G18" s="219"/>
      <c r="H18" s="220"/>
      <c r="I18" s="217"/>
      <c r="J18" s="216"/>
      <c r="K18" s="217"/>
      <c r="L18" s="218"/>
      <c r="M18" s="221"/>
      <c r="N18" s="218"/>
      <c r="O18" s="215"/>
      <c r="P18" s="218"/>
      <c r="Q18" s="220"/>
      <c r="R18" s="217"/>
      <c r="S18" s="216"/>
      <c r="T18" s="222"/>
      <c r="U18" s="218">
        <f>B18+E18+H18</f>
        <v>0</v>
      </c>
      <c r="V18" s="215"/>
      <c r="W18" s="216"/>
      <c r="X18" s="199"/>
    </row>
    <row r="19" spans="1:24" ht="19.5" customHeight="1" thickBot="1">
      <c r="A19" s="223" t="s">
        <v>1568</v>
      </c>
      <c r="B19" s="224">
        <f>SUM(B10:B18)</f>
        <v>309514</v>
      </c>
      <c r="C19" s="225">
        <f aca="true" t="shared" si="1" ref="C19:M19">SUM(C10:C17)</f>
        <v>310603</v>
      </c>
      <c r="D19" s="226">
        <f t="shared" si="1"/>
        <v>310510.864</v>
      </c>
      <c r="E19" s="227">
        <f>SUM(E10:E18)</f>
        <v>105463</v>
      </c>
      <c r="F19" s="227">
        <f t="shared" si="1"/>
        <v>107433</v>
      </c>
      <c r="G19" s="226">
        <f t="shared" si="1"/>
        <v>107376.81</v>
      </c>
      <c r="H19" s="228">
        <f>SUM(H10:H18)</f>
        <v>6028</v>
      </c>
      <c r="I19" s="227">
        <f t="shared" si="1"/>
        <v>6032</v>
      </c>
      <c r="J19" s="226">
        <f>SUM(J10:J17)</f>
        <v>6030.347</v>
      </c>
      <c r="K19" s="227">
        <f t="shared" si="1"/>
        <v>190019</v>
      </c>
      <c r="L19" s="229">
        <f t="shared" si="1"/>
        <v>229824</v>
      </c>
      <c r="M19" s="226">
        <f t="shared" si="1"/>
        <v>228638.03400000004</v>
      </c>
      <c r="N19" s="229">
        <f>SUM(N10:N17)</f>
        <v>199952</v>
      </c>
      <c r="O19" s="225">
        <f>SUM(O10:O17)</f>
        <v>390882</v>
      </c>
      <c r="P19" s="229">
        <f>SUM(P10:P17)</f>
        <v>386175.03599999996</v>
      </c>
      <c r="Q19" s="228">
        <f>SUM(Q10:Q18)</f>
        <v>1400</v>
      </c>
      <c r="R19" s="227">
        <f>SUM(R10:R18)</f>
        <v>2953</v>
      </c>
      <c r="S19" s="230">
        <f>SUM(S10:S17)</f>
        <v>2971.0950000000003</v>
      </c>
      <c r="T19" s="231">
        <f>SUM(T10:T17)</f>
        <v>0</v>
      </c>
      <c r="U19" s="229">
        <f>SUM(U10:U18)</f>
        <v>812376</v>
      </c>
      <c r="V19" s="225">
        <f>SUM(V10:V17)</f>
        <v>1046796</v>
      </c>
      <c r="W19" s="230">
        <f>SUM(W10:W17)</f>
        <v>1040772.38</v>
      </c>
      <c r="X19" s="232"/>
    </row>
    <row r="20" spans="1:24" ht="16.5" customHeight="1">
      <c r="A20" s="233"/>
      <c r="B20" s="234"/>
      <c r="C20" s="234"/>
      <c r="D20" s="234"/>
      <c r="E20" s="234"/>
      <c r="F20" s="234"/>
      <c r="G20" s="235"/>
      <c r="H20" s="234"/>
      <c r="I20" s="234"/>
      <c r="J20" s="234"/>
      <c r="K20" s="234"/>
      <c r="L20" s="234"/>
      <c r="M20" s="234"/>
      <c r="N20" s="234"/>
      <c r="O20" s="234"/>
      <c r="P20" s="235"/>
      <c r="Q20" s="234"/>
      <c r="R20" s="234"/>
      <c r="S20" s="234"/>
      <c r="T20" s="234"/>
      <c r="U20" s="234"/>
      <c r="V20" s="236"/>
      <c r="W20" s="234"/>
      <c r="X20" s="232"/>
    </row>
    <row r="21" spans="1:24" ht="12.75">
      <c r="A21" s="150"/>
      <c r="B21" s="142"/>
      <c r="C21" s="193"/>
      <c r="D21" s="193"/>
      <c r="E21" s="193"/>
      <c r="F21" s="193"/>
      <c r="G21" s="193"/>
      <c r="H21" s="193"/>
      <c r="I21" s="237"/>
      <c r="J21" s="237"/>
      <c r="K21" s="142"/>
      <c r="L21" s="142"/>
      <c r="M21" s="193"/>
      <c r="N21" s="193"/>
      <c r="O21" s="193"/>
      <c r="P21" s="193"/>
      <c r="Q21" s="142"/>
      <c r="R21" s="142"/>
      <c r="S21" s="142"/>
      <c r="T21" s="142"/>
      <c r="U21" s="193"/>
      <c r="V21" s="193"/>
      <c r="W21" s="238"/>
      <c r="X21" s="30"/>
    </row>
    <row r="22" spans="1:24" ht="12.7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30"/>
    </row>
    <row r="23" spans="1:23" ht="12.75">
      <c r="A23" s="239" t="s">
        <v>1569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</row>
    <row r="24" spans="1:23" ht="12.75">
      <c r="A24" s="142" t="s">
        <v>1570</v>
      </c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</row>
    <row r="25" spans="1:23" ht="12.75">
      <c r="A25" s="142" t="s">
        <v>1571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</row>
    <row r="26" spans="1:23" ht="12.7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</row>
    <row r="27" spans="1:23" s="367" customFormat="1" ht="15">
      <c r="A27" s="141" t="s">
        <v>828</v>
      </c>
      <c r="B27" s="141"/>
      <c r="D27" s="141"/>
      <c r="E27" s="141"/>
      <c r="F27" s="141"/>
      <c r="H27" s="141"/>
      <c r="I27" s="141"/>
      <c r="J27" s="141" t="s">
        <v>1572</v>
      </c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323" t="s">
        <v>1573</v>
      </c>
      <c r="V27" s="1323"/>
      <c r="W27" s="1323"/>
    </row>
    <row r="28" spans="1:23" ht="12.7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</row>
    <row r="29" spans="1:23" ht="12.7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</row>
    <row r="30" spans="1:23" ht="12.7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</row>
    <row r="31" spans="1:23" ht="12.7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</row>
    <row r="32" spans="1:7" ht="12.75">
      <c r="A32" s="30"/>
      <c r="B32" s="30"/>
      <c r="C32" s="30"/>
      <c r="D32" s="30"/>
      <c r="E32" s="30"/>
      <c r="F32" s="30"/>
      <c r="G32" s="30"/>
    </row>
  </sheetData>
  <mergeCells count="2">
    <mergeCell ref="V2:W2"/>
    <mergeCell ref="U27:W27"/>
  </mergeCells>
  <printOptions/>
  <pageMargins left="0.3937007874015748" right="0.3937007874015748" top="0.984251968503937" bottom="0.7874015748031497" header="0.7086614173228347" footer="0.31496062992125984"/>
  <pageSetup fitToHeight="1" fitToWidth="1" horizontalDpi="600" verticalDpi="600" orientation="landscape" paperSize="9" scale="64" r:id="rId1"/>
  <headerFooter alignWithMargins="0">
    <oddFooter>&amp;C&amp;14&amp;P+182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zoomScale="80" zoomScaleNormal="80" workbookViewId="0" topLeftCell="A25">
      <selection activeCell="A51" sqref="A51:IV51"/>
    </sheetView>
  </sheetViews>
  <sheetFormatPr defaultColWidth="9.00390625" defaultRowHeight="12.75"/>
  <cols>
    <col min="1" max="1" width="62.25390625" style="140" customWidth="1"/>
    <col min="2" max="11" width="11.75390625" style="140" hidden="1" customWidth="1"/>
    <col min="12" max="18" width="17.00390625" style="140" customWidth="1"/>
    <col min="19" max="16384" width="9.125" style="140" customWidth="1"/>
  </cols>
  <sheetData>
    <row r="1" spans="1:18" s="704" customFormat="1" ht="15.75" customHeight="1">
      <c r="A1" s="704" t="s">
        <v>1543</v>
      </c>
      <c r="R1" s="705" t="s">
        <v>832</v>
      </c>
    </row>
    <row r="3" spans="1:18" s="706" customFormat="1" ht="18">
      <c r="A3" s="1324" t="s">
        <v>141</v>
      </c>
      <c r="B3" s="1324"/>
      <c r="C3" s="1324"/>
      <c r="D3" s="1324"/>
      <c r="E3" s="1324"/>
      <c r="F3" s="1324"/>
      <c r="G3" s="1324"/>
      <c r="H3" s="1324"/>
      <c r="I3" s="1324"/>
      <c r="J3" s="1324"/>
      <c r="K3" s="1324"/>
      <c r="L3" s="1324"/>
      <c r="M3" s="1324"/>
      <c r="N3" s="1324"/>
      <c r="O3" s="1324"/>
      <c r="P3" s="1324"/>
      <c r="Q3" s="1324"/>
      <c r="R3" s="1324"/>
    </row>
    <row r="4" spans="1:18" ht="19.5" customHeight="1" thickBo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8"/>
      <c r="L4" s="288"/>
      <c r="N4" s="289"/>
      <c r="O4" s="289"/>
      <c r="P4" s="289"/>
      <c r="Q4" s="289"/>
      <c r="R4" s="289" t="s">
        <v>1545</v>
      </c>
    </row>
    <row r="5" spans="1:18" s="716" customFormat="1" ht="39.75" customHeight="1" thickBot="1">
      <c r="A5" s="710" t="s">
        <v>142</v>
      </c>
      <c r="B5" s="711" t="s">
        <v>143</v>
      </c>
      <c r="C5" s="711" t="s">
        <v>144</v>
      </c>
      <c r="D5" s="711" t="s">
        <v>145</v>
      </c>
      <c r="E5" s="711" t="s">
        <v>146</v>
      </c>
      <c r="F5" s="711" t="s">
        <v>147</v>
      </c>
      <c r="G5" s="711" t="s">
        <v>148</v>
      </c>
      <c r="H5" s="711" t="s">
        <v>149</v>
      </c>
      <c r="I5" s="711" t="s">
        <v>150</v>
      </c>
      <c r="J5" s="711" t="s">
        <v>151</v>
      </c>
      <c r="K5" s="711" t="s">
        <v>152</v>
      </c>
      <c r="L5" s="712" t="s">
        <v>1388</v>
      </c>
      <c r="M5" s="712" t="s">
        <v>1389</v>
      </c>
      <c r="N5" s="713" t="s">
        <v>1390</v>
      </c>
      <c r="O5" s="713" t="s">
        <v>1391</v>
      </c>
      <c r="P5" s="714" t="s">
        <v>1392</v>
      </c>
      <c r="Q5" s="714" t="s">
        <v>1393</v>
      </c>
      <c r="R5" s="715" t="s">
        <v>153</v>
      </c>
    </row>
    <row r="6" spans="1:18" ht="14.25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2"/>
      <c r="M6" s="293"/>
      <c r="N6" s="294"/>
      <c r="O6" s="294"/>
      <c r="P6" s="293"/>
      <c r="Q6" s="295"/>
      <c r="R6" s="296"/>
    </row>
    <row r="7" spans="1:18" ht="15">
      <c r="A7" s="297" t="s">
        <v>154</v>
      </c>
      <c r="B7" s="298">
        <v>2184630</v>
      </c>
      <c r="C7" s="298">
        <v>2599678</v>
      </c>
      <c r="D7" s="298">
        <v>3381679</v>
      </c>
      <c r="E7" s="298">
        <v>3676044</v>
      </c>
      <c r="F7" s="298">
        <v>3849359</v>
      </c>
      <c r="G7" s="298">
        <v>3540245</v>
      </c>
      <c r="H7" s="298">
        <v>3722534</v>
      </c>
      <c r="I7" s="298">
        <v>3811742</v>
      </c>
      <c r="J7" s="298">
        <v>4880203</v>
      </c>
      <c r="K7" s="298">
        <v>5766027</v>
      </c>
      <c r="L7" s="299">
        <v>6420538</v>
      </c>
      <c r="M7" s="300">
        <f>M8+M10</f>
        <v>6945471</v>
      </c>
      <c r="N7" s="301">
        <f>SUM(N8+N10)</f>
        <v>8041294</v>
      </c>
      <c r="O7" s="302">
        <f>SUM(O8+O10)</f>
        <v>10777246</v>
      </c>
      <c r="P7" s="300">
        <f>SUM(P8+P10)</f>
        <v>9129596.52</v>
      </c>
      <c r="Q7" s="300">
        <f>SUM(Q8+Q10)</f>
        <v>9248632</v>
      </c>
      <c r="R7" s="303">
        <f>SUM(R8+R10+R11)</f>
        <v>10977408</v>
      </c>
    </row>
    <row r="8" spans="1:18" ht="14.25">
      <c r="A8" s="304" t="s">
        <v>155</v>
      </c>
      <c r="B8" s="305">
        <v>1861383</v>
      </c>
      <c r="C8" s="305">
        <v>2270532</v>
      </c>
      <c r="D8" s="305">
        <v>2826957</v>
      </c>
      <c r="E8" s="305">
        <v>3119388</v>
      </c>
      <c r="F8" s="305">
        <v>3006009</v>
      </c>
      <c r="G8" s="305">
        <v>3104569</v>
      </c>
      <c r="H8" s="305">
        <v>3398643</v>
      </c>
      <c r="I8" s="305">
        <v>3485784</v>
      </c>
      <c r="J8" s="305">
        <v>4417989</v>
      </c>
      <c r="K8" s="305">
        <v>4960978</v>
      </c>
      <c r="L8" s="306">
        <v>5454470</v>
      </c>
      <c r="M8" s="307">
        <v>5713826</v>
      </c>
      <c r="N8" s="308">
        <v>6398546</v>
      </c>
      <c r="O8" s="308">
        <v>6551027</v>
      </c>
      <c r="P8" s="307">
        <v>7003512.33</v>
      </c>
      <c r="Q8" s="307">
        <v>7023345</v>
      </c>
      <c r="R8" s="309">
        <v>6998190</v>
      </c>
    </row>
    <row r="9" spans="1:18" ht="14.25">
      <c r="A9" s="304" t="s">
        <v>156</v>
      </c>
      <c r="B9" s="305"/>
      <c r="C9" s="305"/>
      <c r="D9" s="305"/>
      <c r="E9" s="305"/>
      <c r="F9" s="305">
        <v>2299176</v>
      </c>
      <c r="G9" s="305">
        <v>2374086</v>
      </c>
      <c r="H9" s="305">
        <v>2598970</v>
      </c>
      <c r="I9" s="305">
        <v>2665607</v>
      </c>
      <c r="J9" s="305">
        <v>3378372</v>
      </c>
      <c r="K9" s="305">
        <v>3793638</v>
      </c>
      <c r="L9" s="306">
        <v>4170967</v>
      </c>
      <c r="M9" s="307">
        <v>4677966</v>
      </c>
      <c r="N9" s="308">
        <v>5268749</v>
      </c>
      <c r="O9" s="308">
        <v>5394329</v>
      </c>
      <c r="P9" s="307">
        <v>5766971</v>
      </c>
      <c r="Q9" s="307">
        <v>5783329</v>
      </c>
      <c r="R9" s="309">
        <v>6220613</v>
      </c>
    </row>
    <row r="10" spans="1:18" ht="14.25">
      <c r="A10" s="304" t="s">
        <v>157</v>
      </c>
      <c r="B10" s="305">
        <v>323247</v>
      </c>
      <c r="C10" s="305">
        <v>329146</v>
      </c>
      <c r="D10" s="305">
        <v>554722</v>
      </c>
      <c r="E10" s="305">
        <v>556656</v>
      </c>
      <c r="F10" s="305">
        <v>843350</v>
      </c>
      <c r="G10" s="305">
        <v>435676</v>
      </c>
      <c r="H10" s="305">
        <v>323891</v>
      </c>
      <c r="I10" s="305">
        <v>325958</v>
      </c>
      <c r="J10" s="305">
        <v>462214</v>
      </c>
      <c r="K10" s="305">
        <v>805049</v>
      </c>
      <c r="L10" s="306">
        <v>966068</v>
      </c>
      <c r="M10" s="307">
        <v>1231645</v>
      </c>
      <c r="N10" s="308">
        <v>1642748</v>
      </c>
      <c r="O10" s="308">
        <v>4226219</v>
      </c>
      <c r="P10" s="307">
        <f>439331.74+149813.32+1536939.13</f>
        <v>2126084.19</v>
      </c>
      <c r="Q10" s="307">
        <v>2225287</v>
      </c>
      <c r="R10" s="309">
        <v>3963718</v>
      </c>
    </row>
    <row r="11" spans="1:18" ht="14.25">
      <c r="A11" s="304" t="s">
        <v>158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10" t="s">
        <v>159</v>
      </c>
      <c r="M11" s="310" t="s">
        <v>159</v>
      </c>
      <c r="N11" s="311" t="s">
        <v>159</v>
      </c>
      <c r="O11" s="311" t="s">
        <v>159</v>
      </c>
      <c r="P11" s="312" t="s">
        <v>159</v>
      </c>
      <c r="Q11" s="312" t="s">
        <v>159</v>
      </c>
      <c r="R11" s="309">
        <v>15500</v>
      </c>
    </row>
    <row r="12" spans="1:18" ht="14.25">
      <c r="A12" s="304"/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4"/>
      <c r="M12" s="315"/>
      <c r="N12" s="316"/>
      <c r="O12" s="317"/>
      <c r="P12" s="318"/>
      <c r="Q12" s="318"/>
      <c r="R12" s="319"/>
    </row>
    <row r="13" spans="1:18" ht="15">
      <c r="A13" s="297" t="s">
        <v>160</v>
      </c>
      <c r="B13" s="298">
        <v>16540704</v>
      </c>
      <c r="C13" s="298">
        <v>19962546</v>
      </c>
      <c r="D13" s="298">
        <v>22262993</v>
      </c>
      <c r="E13" s="298">
        <v>26614103</v>
      </c>
      <c r="F13" s="298">
        <v>26285720</v>
      </c>
      <c r="G13" s="298">
        <v>27161846</v>
      </c>
      <c r="H13" s="298">
        <v>28965733</v>
      </c>
      <c r="I13" s="298">
        <v>32702908</v>
      </c>
      <c r="J13" s="298">
        <v>36903150</v>
      </c>
      <c r="K13" s="298">
        <v>40969999</v>
      </c>
      <c r="L13" s="299">
        <f>SUM(L14:L17)-884</f>
        <v>45006355</v>
      </c>
      <c r="M13" s="299">
        <f>SUM(M14:M17)-598</f>
        <v>47669199</v>
      </c>
      <c r="N13" s="301">
        <f>SUM(N14:N17)-996</f>
        <v>51516745</v>
      </c>
      <c r="O13" s="302">
        <f>SUM(O14:O17)-1040</f>
        <v>55610478</v>
      </c>
      <c r="P13" s="300">
        <f>SUM(P14:P17)-2132</f>
        <v>58233846.388</v>
      </c>
      <c r="Q13" s="300">
        <f>SUM(Q14:Q17)-2709</f>
        <v>59828400.815</v>
      </c>
      <c r="R13" s="303">
        <f>SUM(R14:R17)</f>
        <v>61802385</v>
      </c>
    </row>
    <row r="14" spans="1:18" ht="15">
      <c r="A14" s="297" t="s">
        <v>161</v>
      </c>
      <c r="B14" s="298">
        <v>893335</v>
      </c>
      <c r="C14" s="298">
        <v>1369069</v>
      </c>
      <c r="D14" s="298">
        <v>2463595</v>
      </c>
      <c r="E14" s="298">
        <v>3655657</v>
      </c>
      <c r="F14" s="298">
        <v>3160778</v>
      </c>
      <c r="G14" s="298">
        <v>3114618</v>
      </c>
      <c r="H14" s="298">
        <v>2880670</v>
      </c>
      <c r="I14" s="298">
        <v>5350844</v>
      </c>
      <c r="J14" s="298">
        <v>2939061</v>
      </c>
      <c r="K14" s="298">
        <v>3523235</v>
      </c>
      <c r="L14" s="299">
        <v>3709460</v>
      </c>
      <c r="M14" s="300">
        <v>3999177</v>
      </c>
      <c r="N14" s="301">
        <v>5304676</v>
      </c>
      <c r="O14" s="302">
        <v>7704261</v>
      </c>
      <c r="P14" s="300">
        <f>8532553.46-890573.85-270508.64</f>
        <v>7371470.970000002</v>
      </c>
      <c r="Q14" s="300">
        <v>8083325.01</v>
      </c>
      <c r="R14" s="303">
        <v>5916057</v>
      </c>
    </row>
    <row r="15" spans="1:18" s="320" customFormat="1" ht="17.25">
      <c r="A15" s="297" t="s">
        <v>162</v>
      </c>
      <c r="B15" s="298"/>
      <c r="C15" s="298"/>
      <c r="D15" s="298"/>
      <c r="E15" s="298">
        <v>24802</v>
      </c>
      <c r="F15" s="298">
        <v>18148</v>
      </c>
      <c r="G15" s="298">
        <v>17940</v>
      </c>
      <c r="H15" s="298">
        <v>10040</v>
      </c>
      <c r="I15" s="298">
        <v>18795</v>
      </c>
      <c r="J15" s="298">
        <v>21217</v>
      </c>
      <c r="K15" s="298">
        <v>19819</v>
      </c>
      <c r="L15" s="299">
        <v>19679</v>
      </c>
      <c r="M15" s="300">
        <v>19728</v>
      </c>
      <c r="N15" s="301">
        <v>22603</v>
      </c>
      <c r="O15" s="302">
        <v>29568</v>
      </c>
      <c r="P15" s="300">
        <f>79841.18-2967.2-69.45</f>
        <v>76804.53</v>
      </c>
      <c r="Q15" s="300">
        <v>45316.73</v>
      </c>
      <c r="R15" s="303">
        <v>47942</v>
      </c>
    </row>
    <row r="16" spans="1:18" s="320" customFormat="1" ht="15">
      <c r="A16" s="297" t="s">
        <v>163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9">
        <v>884129</v>
      </c>
      <c r="M16" s="300">
        <v>1386188</v>
      </c>
      <c r="N16" s="301">
        <v>3027140</v>
      </c>
      <c r="O16" s="302">
        <v>2066692</v>
      </c>
      <c r="P16" s="321">
        <v>1786112.54</v>
      </c>
      <c r="Q16" s="322" t="s">
        <v>159</v>
      </c>
      <c r="R16" s="323" t="s">
        <v>159</v>
      </c>
    </row>
    <row r="17" spans="1:18" ht="15">
      <c r="A17" s="297" t="s">
        <v>164</v>
      </c>
      <c r="B17" s="298">
        <v>15647369</v>
      </c>
      <c r="C17" s="298">
        <v>18593477</v>
      </c>
      <c r="D17" s="298">
        <v>19799398</v>
      </c>
      <c r="E17" s="298">
        <v>22933644</v>
      </c>
      <c r="F17" s="298">
        <v>23106794</v>
      </c>
      <c r="G17" s="298">
        <v>24029288</v>
      </c>
      <c r="H17" s="298">
        <v>26075023</v>
      </c>
      <c r="I17" s="298">
        <v>27333269</v>
      </c>
      <c r="J17" s="298">
        <v>33942872</v>
      </c>
      <c r="K17" s="298">
        <v>37426945</v>
      </c>
      <c r="L17" s="299">
        <f aca="true" t="shared" si="0" ref="L17:R17">SUM(L19:L24)</f>
        <v>40393971</v>
      </c>
      <c r="M17" s="299">
        <f t="shared" si="0"/>
        <v>42264704</v>
      </c>
      <c r="N17" s="301">
        <f t="shared" si="0"/>
        <v>43163322</v>
      </c>
      <c r="O17" s="302">
        <f t="shared" si="0"/>
        <v>45810997</v>
      </c>
      <c r="P17" s="300">
        <f t="shared" si="0"/>
        <v>49001590.348</v>
      </c>
      <c r="Q17" s="300">
        <f t="shared" si="0"/>
        <v>51702468.074999996</v>
      </c>
      <c r="R17" s="303">
        <f t="shared" si="0"/>
        <v>55838386</v>
      </c>
    </row>
    <row r="18" spans="1:18" ht="14.25">
      <c r="A18" s="304" t="s">
        <v>165</v>
      </c>
      <c r="B18" s="305"/>
      <c r="C18" s="305"/>
      <c r="D18" s="305"/>
      <c r="E18" s="305"/>
      <c r="F18" s="313"/>
      <c r="G18" s="313"/>
      <c r="H18" s="313"/>
      <c r="I18" s="313"/>
      <c r="J18" s="313"/>
      <c r="K18" s="313"/>
      <c r="L18" s="314"/>
      <c r="M18" s="315"/>
      <c r="N18" s="316"/>
      <c r="O18" s="317"/>
      <c r="P18" s="318"/>
      <c r="Q18" s="318"/>
      <c r="R18" s="319"/>
    </row>
    <row r="19" spans="1:18" ht="16.5">
      <c r="A19" s="304" t="s">
        <v>166</v>
      </c>
      <c r="B19" s="305">
        <v>6171043</v>
      </c>
      <c r="C19" s="305">
        <v>7872043</v>
      </c>
      <c r="D19" s="305">
        <v>10072856</v>
      </c>
      <c r="E19" s="305">
        <v>10907304</v>
      </c>
      <c r="F19" s="305">
        <v>11747617</v>
      </c>
      <c r="G19" s="305">
        <v>11647992</v>
      </c>
      <c r="H19" s="305">
        <v>12903293</v>
      </c>
      <c r="I19" s="305">
        <v>13152476</v>
      </c>
      <c r="J19" s="305">
        <v>16478311</v>
      </c>
      <c r="K19" s="305">
        <v>18375403</v>
      </c>
      <c r="L19" s="306">
        <v>20127308</v>
      </c>
      <c r="M19" s="307">
        <v>21240215</v>
      </c>
      <c r="N19" s="308">
        <v>23220063</v>
      </c>
      <c r="O19" s="308">
        <v>23930626</v>
      </c>
      <c r="P19" s="307">
        <v>25677160.83</v>
      </c>
      <c r="Q19" s="307">
        <v>25774833</v>
      </c>
      <c r="R19" s="309">
        <v>28005383</v>
      </c>
    </row>
    <row r="20" spans="1:18" ht="14.25">
      <c r="A20" s="304" t="s">
        <v>804</v>
      </c>
      <c r="B20" s="305">
        <v>2074597</v>
      </c>
      <c r="C20" s="305">
        <v>2672123</v>
      </c>
      <c r="D20" s="305">
        <v>3255184</v>
      </c>
      <c r="E20" s="305">
        <v>4218593</v>
      </c>
      <c r="F20" s="305">
        <v>4077869</v>
      </c>
      <c r="G20" s="305">
        <v>4168996</v>
      </c>
      <c r="H20" s="305">
        <v>4682757</v>
      </c>
      <c r="I20" s="305">
        <v>4762695</v>
      </c>
      <c r="J20" s="305">
        <v>5971350</v>
      </c>
      <c r="K20" s="305">
        <v>6650119</v>
      </c>
      <c r="L20" s="306">
        <v>7294162</v>
      </c>
      <c r="M20" s="306">
        <v>7724405</v>
      </c>
      <c r="N20" s="308">
        <v>8441378</v>
      </c>
      <c r="O20" s="308">
        <f>8231991+468415</f>
        <v>8700406</v>
      </c>
      <c r="P20" s="307">
        <f>8824344.73+501914.64</f>
        <v>9326259.370000001</v>
      </c>
      <c r="Q20" s="307">
        <f>8853854.65+503771.35</f>
        <v>9357626</v>
      </c>
      <c r="R20" s="309">
        <f>9343726+547533</f>
        <v>9891259</v>
      </c>
    </row>
    <row r="21" spans="1:18" ht="14.25">
      <c r="A21" s="304" t="s">
        <v>805</v>
      </c>
      <c r="B21" s="305">
        <v>1523017</v>
      </c>
      <c r="C21" s="305">
        <v>1682398</v>
      </c>
      <c r="D21" s="305">
        <v>1981775</v>
      </c>
      <c r="E21" s="305">
        <v>2220806</v>
      </c>
      <c r="F21" s="305">
        <v>2451248</v>
      </c>
      <c r="G21" s="305">
        <v>2760686</v>
      </c>
      <c r="H21" s="305">
        <v>3062731</v>
      </c>
      <c r="I21" s="305">
        <v>3205198</v>
      </c>
      <c r="J21" s="305">
        <v>3518349</v>
      </c>
      <c r="K21" s="305">
        <v>3827208</v>
      </c>
      <c r="L21" s="306">
        <v>3949884</v>
      </c>
      <c r="M21" s="307">
        <v>4112755</v>
      </c>
      <c r="N21" s="308">
        <v>4875183</v>
      </c>
      <c r="O21" s="308">
        <f>2999454+2261590</f>
        <v>5261044</v>
      </c>
      <c r="P21" s="307">
        <f>3337271.37-587.26+3004503.56-72546.62</f>
        <v>6268641.05</v>
      </c>
      <c r="Q21" s="307">
        <f>3566076.65+3951395.5</f>
        <v>7517472.15</v>
      </c>
      <c r="R21" s="309">
        <f>4121039+3508733</f>
        <v>7629772</v>
      </c>
    </row>
    <row r="22" spans="1:18" ht="14.25">
      <c r="A22" s="304" t="s">
        <v>806</v>
      </c>
      <c r="B22" s="305">
        <v>1395251</v>
      </c>
      <c r="C22" s="305">
        <v>55957</v>
      </c>
      <c r="D22" s="305">
        <v>85103</v>
      </c>
      <c r="E22" s="305">
        <v>122713</v>
      </c>
      <c r="F22" s="305">
        <v>111525</v>
      </c>
      <c r="G22" s="305">
        <v>159435</v>
      </c>
      <c r="H22" s="305">
        <v>281209</v>
      </c>
      <c r="I22" s="305">
        <v>379624</v>
      </c>
      <c r="J22" s="305">
        <v>492871</v>
      </c>
      <c r="K22" s="305">
        <v>521497</v>
      </c>
      <c r="L22" s="306">
        <v>575133</v>
      </c>
      <c r="M22" s="307">
        <v>619167</v>
      </c>
      <c r="N22" s="308">
        <v>691130</v>
      </c>
      <c r="O22" s="308">
        <v>723725</v>
      </c>
      <c r="P22" s="307">
        <v>865918</v>
      </c>
      <c r="Q22" s="307">
        <v>993568.65</v>
      </c>
      <c r="R22" s="309">
        <f>853374+9103</f>
        <v>862477</v>
      </c>
    </row>
    <row r="23" spans="1:18" ht="14.25">
      <c r="A23" s="304" t="s">
        <v>807</v>
      </c>
      <c r="B23" s="305">
        <v>39000</v>
      </c>
      <c r="C23" s="305">
        <v>63500</v>
      </c>
      <c r="D23" s="305">
        <v>71711</v>
      </c>
      <c r="E23" s="305">
        <v>65868</v>
      </c>
      <c r="F23" s="305">
        <v>60300</v>
      </c>
      <c r="G23" s="305">
        <v>54543</v>
      </c>
      <c r="H23" s="305">
        <v>39211</v>
      </c>
      <c r="I23" s="305">
        <v>30050</v>
      </c>
      <c r="J23" s="305">
        <v>33030</v>
      </c>
      <c r="K23" s="305">
        <v>33943</v>
      </c>
      <c r="L23" s="306">
        <v>36454</v>
      </c>
      <c r="M23" s="307">
        <f>42572+110</f>
        <v>42682</v>
      </c>
      <c r="N23" s="308">
        <v>46856</v>
      </c>
      <c r="O23" s="308">
        <f>71465</f>
        <v>71465</v>
      </c>
      <c r="P23" s="307">
        <f>86294.94-50-12.302</f>
        <v>86232.638</v>
      </c>
      <c r="Q23" s="307">
        <v>86856.67</v>
      </c>
      <c r="R23" s="309">
        <v>55319</v>
      </c>
    </row>
    <row r="24" spans="1:18" ht="14.25">
      <c r="A24" s="304" t="s">
        <v>808</v>
      </c>
      <c r="B24" s="305">
        <v>4444461</v>
      </c>
      <c r="C24" s="305">
        <v>6247456</v>
      </c>
      <c r="D24" s="305">
        <v>4332769</v>
      </c>
      <c r="E24" s="305">
        <v>5398360</v>
      </c>
      <c r="F24" s="305">
        <v>4658235</v>
      </c>
      <c r="G24" s="305">
        <v>5237636</v>
      </c>
      <c r="H24" s="305">
        <v>5105822</v>
      </c>
      <c r="I24" s="305">
        <v>5803226</v>
      </c>
      <c r="J24" s="305">
        <v>7448961</v>
      </c>
      <c r="K24" s="305">
        <v>8018775</v>
      </c>
      <c r="L24" s="306">
        <v>8411030</v>
      </c>
      <c r="M24" s="307">
        <v>8525480</v>
      </c>
      <c r="N24" s="324">
        <v>5888712</v>
      </c>
      <c r="O24" s="308">
        <f>7105580+18151</f>
        <v>7123731</v>
      </c>
      <c r="P24" s="307">
        <f>53413159.21-25096118.88-581041.96-8824344.75-86294.94-865918-501914.66-624960.6-6268641.06-3748421.98-40058-260+2132.08+50+12</f>
        <v>6777378.459999999</v>
      </c>
      <c r="Q24" s="307">
        <f>55229471.83-25774833.34-8853854.65-86856.67-993568.65-503771.36-7517472.17-3494739.71-32263.675</f>
        <v>7972111.604999997</v>
      </c>
      <c r="R24" s="309">
        <v>9394176</v>
      </c>
    </row>
    <row r="25" spans="1:18" ht="14.25">
      <c r="A25" s="304"/>
      <c r="B25" s="305"/>
      <c r="C25" s="305"/>
      <c r="D25" s="305"/>
      <c r="E25" s="305"/>
      <c r="F25" s="305"/>
      <c r="G25" s="305"/>
      <c r="H25" s="305"/>
      <c r="I25" s="305"/>
      <c r="J25" s="305"/>
      <c r="K25" s="313"/>
      <c r="L25" s="314"/>
      <c r="M25" s="315"/>
      <c r="N25" s="316"/>
      <c r="O25" s="317"/>
      <c r="P25" s="318"/>
      <c r="Q25" s="318"/>
      <c r="R25" s="319"/>
    </row>
    <row r="26" spans="1:18" ht="15">
      <c r="A26" s="297" t="s">
        <v>809</v>
      </c>
      <c r="B26" s="298">
        <v>56259</v>
      </c>
      <c r="C26" s="298">
        <v>61856</v>
      </c>
      <c r="D26" s="298">
        <v>59353</v>
      </c>
      <c r="E26" s="298">
        <v>60542</v>
      </c>
      <c r="F26" s="298">
        <v>61174</v>
      </c>
      <c r="G26" s="298">
        <v>60689</v>
      </c>
      <c r="H26" s="298">
        <v>61888</v>
      </c>
      <c r="I26" s="298">
        <v>61879</v>
      </c>
      <c r="J26" s="298">
        <v>70457</v>
      </c>
      <c r="K26" s="298">
        <v>71818</v>
      </c>
      <c r="L26" s="299">
        <v>74214</v>
      </c>
      <c r="M26" s="300">
        <v>74400</v>
      </c>
      <c r="N26" s="301">
        <v>73324</v>
      </c>
      <c r="O26" s="302">
        <f>SUM(O27:O28)</f>
        <v>72474</v>
      </c>
      <c r="P26" s="300">
        <v>71395</v>
      </c>
      <c r="Q26" s="300">
        <f>SUM(Q27:Q28)</f>
        <v>68698</v>
      </c>
      <c r="R26" s="303">
        <f>SUM(R27:R28)</f>
        <v>74682</v>
      </c>
    </row>
    <row r="27" spans="1:18" ht="14.25">
      <c r="A27" s="304" t="s">
        <v>810</v>
      </c>
      <c r="B27" s="305">
        <v>46779</v>
      </c>
      <c r="C27" s="305">
        <v>51845</v>
      </c>
      <c r="D27" s="305">
        <v>46748</v>
      </c>
      <c r="E27" s="305">
        <v>47160</v>
      </c>
      <c r="F27" s="305">
        <v>45056</v>
      </c>
      <c r="G27" s="305">
        <v>44711</v>
      </c>
      <c r="H27" s="305">
        <v>45094</v>
      </c>
      <c r="I27" s="305">
        <v>45083</v>
      </c>
      <c r="J27" s="305">
        <v>53660</v>
      </c>
      <c r="K27" s="305">
        <v>54733</v>
      </c>
      <c r="L27" s="306">
        <v>56453</v>
      </c>
      <c r="M27" s="306">
        <v>57018</v>
      </c>
      <c r="N27" s="324">
        <v>56360</v>
      </c>
      <c r="O27" s="308">
        <v>55168</v>
      </c>
      <c r="P27" s="307">
        <v>54267</v>
      </c>
      <c r="Q27" s="307">
        <v>52059</v>
      </c>
      <c r="R27" s="309">
        <v>57611</v>
      </c>
    </row>
    <row r="28" spans="1:18" ht="14.25">
      <c r="A28" s="304" t="s">
        <v>811</v>
      </c>
      <c r="B28" s="305">
        <v>9480</v>
      </c>
      <c r="C28" s="305">
        <v>10011</v>
      </c>
      <c r="D28" s="305">
        <v>12605</v>
      </c>
      <c r="E28" s="305">
        <v>13382</v>
      </c>
      <c r="F28" s="305">
        <v>16118</v>
      </c>
      <c r="G28" s="305">
        <v>15978</v>
      </c>
      <c r="H28" s="305">
        <v>16794</v>
      </c>
      <c r="I28" s="305">
        <v>16796</v>
      </c>
      <c r="J28" s="305">
        <v>16797</v>
      </c>
      <c r="K28" s="305">
        <v>17085</v>
      </c>
      <c r="L28" s="306">
        <v>17761</v>
      </c>
      <c r="M28" s="306">
        <v>17382</v>
      </c>
      <c r="N28" s="324">
        <v>16964</v>
      </c>
      <c r="O28" s="308">
        <v>17306</v>
      </c>
      <c r="P28" s="307">
        <v>17128</v>
      </c>
      <c r="Q28" s="307">
        <v>16639</v>
      </c>
      <c r="R28" s="309">
        <v>17071</v>
      </c>
    </row>
    <row r="29" spans="1:18" ht="14.25">
      <c r="A29" s="304"/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4"/>
      <c r="M29" s="325"/>
      <c r="N29" s="316"/>
      <c r="O29" s="317"/>
      <c r="P29" s="318"/>
      <c r="Q29" s="318"/>
      <c r="R29" s="319"/>
    </row>
    <row r="30" spans="1:18" ht="15">
      <c r="A30" s="297" t="s">
        <v>812</v>
      </c>
      <c r="B30" s="298">
        <v>8840</v>
      </c>
      <c r="C30" s="298">
        <v>10234</v>
      </c>
      <c r="D30" s="298">
        <v>13708</v>
      </c>
      <c r="E30" s="298">
        <v>14895</v>
      </c>
      <c r="F30" s="298">
        <v>15406</v>
      </c>
      <c r="G30" s="298">
        <v>15058</v>
      </c>
      <c r="H30" s="298">
        <v>17001</v>
      </c>
      <c r="I30" s="298">
        <v>17309</v>
      </c>
      <c r="J30" s="298">
        <v>19003</v>
      </c>
      <c r="K30" s="298">
        <v>20760</v>
      </c>
      <c r="L30" s="299">
        <v>22038</v>
      </c>
      <c r="M30" s="300">
        <v>23288</v>
      </c>
      <c r="N30" s="301">
        <v>25809</v>
      </c>
      <c r="O30" s="302">
        <v>26925</v>
      </c>
      <c r="P30" s="300">
        <v>29293</v>
      </c>
      <c r="Q30" s="300">
        <v>30555</v>
      </c>
      <c r="R30" s="303">
        <v>29832</v>
      </c>
    </row>
    <row r="31" spans="1:18" ht="14.25">
      <c r="A31" s="304" t="s">
        <v>813</v>
      </c>
      <c r="B31" s="305">
        <v>9777</v>
      </c>
      <c r="C31" s="305">
        <v>12862</v>
      </c>
      <c r="D31" s="305">
        <v>14367</v>
      </c>
      <c r="E31" s="305">
        <v>16279</v>
      </c>
      <c r="F31" s="305">
        <v>16415</v>
      </c>
      <c r="G31" s="305">
        <v>16911</v>
      </c>
      <c r="H31" s="305">
        <v>18576</v>
      </c>
      <c r="I31" s="305">
        <v>18952</v>
      </c>
      <c r="J31" s="305">
        <v>20604</v>
      </c>
      <c r="K31" s="305">
        <v>22473</v>
      </c>
      <c r="L31" s="306">
        <v>23765</v>
      </c>
      <c r="M31" s="306">
        <v>24892</v>
      </c>
      <c r="N31" s="324">
        <v>27914</v>
      </c>
      <c r="O31" s="308">
        <v>29160</v>
      </c>
      <c r="P31" s="307">
        <v>31791</v>
      </c>
      <c r="Q31" s="307">
        <v>33122</v>
      </c>
      <c r="R31" s="309">
        <v>32220</v>
      </c>
    </row>
    <row r="32" spans="1:18" ht="14.25">
      <c r="A32" s="304" t="s">
        <v>814</v>
      </c>
      <c r="B32" s="305">
        <v>6002</v>
      </c>
      <c r="C32" s="305">
        <v>6796</v>
      </c>
      <c r="D32" s="305">
        <v>9276</v>
      </c>
      <c r="E32" s="305">
        <v>10021</v>
      </c>
      <c r="F32" s="305">
        <v>10695</v>
      </c>
      <c r="G32" s="305">
        <v>11129</v>
      </c>
      <c r="H32" s="305">
        <v>12559</v>
      </c>
      <c r="I32" s="305">
        <v>12900</v>
      </c>
      <c r="J32" s="305">
        <v>13888</v>
      </c>
      <c r="K32" s="305">
        <v>15270</v>
      </c>
      <c r="L32" s="306">
        <v>16549</v>
      </c>
      <c r="M32" s="306">
        <v>18026</v>
      </c>
      <c r="N32" s="324">
        <v>18815</v>
      </c>
      <c r="O32" s="308">
        <v>19799</v>
      </c>
      <c r="P32" s="307">
        <v>21377</v>
      </c>
      <c r="Q32" s="307">
        <v>22527</v>
      </c>
      <c r="R32" s="309">
        <v>21774</v>
      </c>
    </row>
    <row r="33" spans="1:18" ht="14.25">
      <c r="A33" s="304"/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26"/>
      <c r="N33" s="327"/>
      <c r="O33" s="328"/>
      <c r="P33" s="329"/>
      <c r="Q33" s="329"/>
      <c r="R33" s="330"/>
    </row>
    <row r="34" spans="1:18" ht="15">
      <c r="A34" s="297" t="s">
        <v>815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26"/>
      <c r="N34" s="327"/>
      <c r="O34" s="328"/>
      <c r="P34" s="329"/>
      <c r="Q34" s="329"/>
      <c r="R34" s="330"/>
    </row>
    <row r="35" spans="1:18" ht="14.25">
      <c r="A35" s="304" t="s">
        <v>816</v>
      </c>
      <c r="B35" s="331">
        <v>68.73</v>
      </c>
      <c r="C35" s="331">
        <v>66.18</v>
      </c>
      <c r="D35" s="331">
        <v>77.94</v>
      </c>
      <c r="E35" s="331">
        <v>76.27</v>
      </c>
      <c r="F35" s="331">
        <v>79.69</v>
      </c>
      <c r="G35" s="331">
        <v>78.01</v>
      </c>
      <c r="H35" s="331">
        <v>80.18</v>
      </c>
      <c r="I35" s="331">
        <v>78.45</v>
      </c>
      <c r="J35" s="331">
        <v>77.71</v>
      </c>
      <c r="K35" s="331">
        <v>78.25</v>
      </c>
      <c r="L35" s="332">
        <f aca="true" t="shared" si="1" ref="L35:R35">(L19+L20+L21)/L17*100</f>
        <v>77.6634562618268</v>
      </c>
      <c r="M35" s="332">
        <f t="shared" si="1"/>
        <v>78.26240780013507</v>
      </c>
      <c r="N35" s="332">
        <f t="shared" si="1"/>
        <v>84.64738650097414</v>
      </c>
      <c r="O35" s="333">
        <f t="shared" si="1"/>
        <v>82.7139300199033</v>
      </c>
      <c r="P35" s="334">
        <f t="shared" si="1"/>
        <v>84.22596278384773</v>
      </c>
      <c r="Q35" s="335">
        <f>(Q19+Q20+Q21)/Q17*100</f>
        <v>82.491093245552</v>
      </c>
      <c r="R35" s="336">
        <f t="shared" si="1"/>
        <v>81.53246764689796</v>
      </c>
    </row>
    <row r="36" spans="1:18" ht="14.25">
      <c r="A36" s="304" t="s">
        <v>817</v>
      </c>
      <c r="B36" s="331">
        <v>31.27</v>
      </c>
      <c r="C36" s="331">
        <v>33.82</v>
      </c>
      <c r="D36" s="331">
        <v>22.06</v>
      </c>
      <c r="E36" s="331">
        <v>23.73</v>
      </c>
      <c r="F36" s="331">
        <v>20.31</v>
      </c>
      <c r="G36" s="331">
        <v>21.99</v>
      </c>
      <c r="H36" s="331">
        <v>19.82</v>
      </c>
      <c r="I36" s="331">
        <v>21.55</v>
      </c>
      <c r="J36" s="331">
        <v>22.29</v>
      </c>
      <c r="K36" s="331">
        <v>21.75</v>
      </c>
      <c r="L36" s="332">
        <f aca="true" t="shared" si="2" ref="L36:R36">100-L35</f>
        <v>22.336543738173205</v>
      </c>
      <c r="M36" s="332">
        <f t="shared" si="2"/>
        <v>21.737592199864935</v>
      </c>
      <c r="N36" s="332">
        <f t="shared" si="2"/>
        <v>15.352613499025864</v>
      </c>
      <c r="O36" s="333">
        <f t="shared" si="2"/>
        <v>17.2860699800967</v>
      </c>
      <c r="P36" s="334">
        <f t="shared" si="2"/>
        <v>15.774037216152266</v>
      </c>
      <c r="Q36" s="335">
        <f t="shared" si="2"/>
        <v>17.508906754448006</v>
      </c>
      <c r="R36" s="336">
        <f t="shared" si="2"/>
        <v>18.467532353102044</v>
      </c>
    </row>
    <row r="37" spans="1:18" ht="14.25">
      <c r="A37" s="304" t="s">
        <v>818</v>
      </c>
      <c r="B37" s="331">
        <v>79</v>
      </c>
      <c r="C37" s="331">
        <v>101</v>
      </c>
      <c r="D37" s="331">
        <v>73</v>
      </c>
      <c r="E37" s="331">
        <v>89.17</v>
      </c>
      <c r="F37" s="331">
        <v>76.15</v>
      </c>
      <c r="G37" s="331">
        <v>86.3</v>
      </c>
      <c r="H37" s="331">
        <v>82.5</v>
      </c>
      <c r="I37" s="331">
        <v>93.78</v>
      </c>
      <c r="J37" s="331">
        <v>105.72</v>
      </c>
      <c r="K37" s="331">
        <v>111.65</v>
      </c>
      <c r="L37" s="332">
        <f aca="true" t="shared" si="3" ref="L37:R37">L24/L26</f>
        <v>113.3348155334573</v>
      </c>
      <c r="M37" s="332">
        <f t="shared" si="3"/>
        <v>114.58978494623656</v>
      </c>
      <c r="N37" s="332">
        <f t="shared" si="3"/>
        <v>80.31083956139872</v>
      </c>
      <c r="O37" s="337">
        <f t="shared" si="3"/>
        <v>98.29360874244557</v>
      </c>
      <c r="P37" s="335">
        <f t="shared" si="3"/>
        <v>94.92791455984312</v>
      </c>
      <c r="Q37" s="335">
        <f>Q24/Q26</f>
        <v>116.04575977466588</v>
      </c>
      <c r="R37" s="338">
        <f t="shared" si="3"/>
        <v>125.78902546798426</v>
      </c>
    </row>
    <row r="38" spans="1:18" ht="14.25">
      <c r="A38" s="304"/>
      <c r="B38" s="331"/>
      <c r="C38" s="331"/>
      <c r="D38" s="331"/>
      <c r="E38" s="331"/>
      <c r="F38" s="331"/>
      <c r="G38" s="331"/>
      <c r="H38" s="331"/>
      <c r="I38" s="331"/>
      <c r="J38" s="331"/>
      <c r="K38" s="331"/>
      <c r="L38" s="332"/>
      <c r="M38" s="332"/>
      <c r="N38" s="339"/>
      <c r="O38" s="337"/>
      <c r="P38" s="340"/>
      <c r="Q38" s="341"/>
      <c r="R38" s="342"/>
    </row>
    <row r="39" spans="1:18" ht="14.25">
      <c r="A39" s="304" t="s">
        <v>819</v>
      </c>
      <c r="B39" s="305">
        <v>5337796</v>
      </c>
      <c r="C39" s="305">
        <v>7616525</v>
      </c>
      <c r="D39" s="305">
        <v>6796364</v>
      </c>
      <c r="E39" s="305">
        <v>9054017</v>
      </c>
      <c r="F39" s="305">
        <v>7819013</v>
      </c>
      <c r="G39" s="305">
        <v>8352254</v>
      </c>
      <c r="H39" s="305">
        <v>7986492</v>
      </c>
      <c r="I39" s="305">
        <v>11154070</v>
      </c>
      <c r="J39" s="305">
        <v>10388022</v>
      </c>
      <c r="K39" s="305">
        <v>11542010</v>
      </c>
      <c r="L39" s="306">
        <f>L14+L24</f>
        <v>12120490</v>
      </c>
      <c r="M39" s="306">
        <f>M14+M24</f>
        <v>12524657</v>
      </c>
      <c r="N39" s="306">
        <f>N14+N24</f>
        <v>11193388</v>
      </c>
      <c r="O39" s="308">
        <f>O14+O24</f>
        <v>14827992</v>
      </c>
      <c r="P39" s="307">
        <f>SUM(P14+P24)</f>
        <v>14148849.43</v>
      </c>
      <c r="Q39" s="343">
        <f>SUM(Q14+Q24)</f>
        <v>16055436.614999996</v>
      </c>
      <c r="R39" s="309">
        <f>SUM(R14+R24)</f>
        <v>15310233</v>
      </c>
    </row>
    <row r="40" spans="1:18" ht="14.25">
      <c r="A40" s="304" t="s">
        <v>820</v>
      </c>
      <c r="B40" s="331">
        <v>94.88</v>
      </c>
      <c r="C40" s="331">
        <v>123.13</v>
      </c>
      <c r="D40" s="331">
        <v>114.51</v>
      </c>
      <c r="E40" s="331">
        <v>149.55</v>
      </c>
      <c r="F40" s="331">
        <v>127.82</v>
      </c>
      <c r="G40" s="331">
        <v>137.62</v>
      </c>
      <c r="H40" s="331">
        <v>129.05</v>
      </c>
      <c r="I40" s="331">
        <v>180.26</v>
      </c>
      <c r="J40" s="331">
        <v>147.44</v>
      </c>
      <c r="K40" s="331">
        <v>160.71</v>
      </c>
      <c r="L40" s="332">
        <f>L39/L26</f>
        <v>163.31810709569623</v>
      </c>
      <c r="M40" s="332">
        <f>M39/M26</f>
        <v>168.34216397849463</v>
      </c>
      <c r="N40" s="332">
        <f>N39/N26</f>
        <v>152.65653810484972</v>
      </c>
      <c r="O40" s="333">
        <f>SUM(O39/O26)</f>
        <v>204.59740044705688</v>
      </c>
      <c r="P40" s="334">
        <f>SUM(P39/P26)</f>
        <v>198.17703522655648</v>
      </c>
      <c r="Q40" s="335">
        <f>SUM(Q39/Q26)</f>
        <v>233.7103935340184</v>
      </c>
      <c r="R40" s="336">
        <f>SUM(R39/R26)</f>
        <v>205.0056640154254</v>
      </c>
    </row>
    <row r="41" spans="1:18" ht="14.25">
      <c r="A41" s="304"/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2"/>
      <c r="M41" s="332"/>
      <c r="N41" s="344"/>
      <c r="O41" s="333"/>
      <c r="P41" s="340"/>
      <c r="Q41" s="341"/>
      <c r="R41" s="342"/>
    </row>
    <row r="42" spans="1:18" ht="14.25">
      <c r="A42" s="304" t="s">
        <v>821</v>
      </c>
      <c r="B42" s="331"/>
      <c r="C42" s="331"/>
      <c r="D42" s="305">
        <v>1466681</v>
      </c>
      <c r="E42" s="305">
        <v>1660649</v>
      </c>
      <c r="F42" s="305">
        <v>1785131</v>
      </c>
      <c r="G42" s="305">
        <v>1962483</v>
      </c>
      <c r="H42" s="305">
        <v>2041353</v>
      </c>
      <c r="I42" s="305">
        <v>2150058</v>
      </c>
      <c r="J42" s="305">
        <v>2315255</v>
      </c>
      <c r="K42" s="305">
        <v>2414669</v>
      </c>
      <c r="L42" s="306">
        <v>2577000000</v>
      </c>
      <c r="M42" s="306">
        <v>2815000000</v>
      </c>
      <c r="N42" s="324">
        <v>2984000000</v>
      </c>
      <c r="O42" s="308">
        <v>3216000000</v>
      </c>
      <c r="P42" s="307">
        <v>3530000000</v>
      </c>
      <c r="Q42" s="307">
        <v>3722000000</v>
      </c>
      <c r="R42" s="309">
        <v>3842000000</v>
      </c>
    </row>
    <row r="43" spans="1:18" ht="15" thickBot="1">
      <c r="A43" s="345" t="s">
        <v>822</v>
      </c>
      <c r="B43" s="346"/>
      <c r="C43" s="346"/>
      <c r="D43" s="346">
        <v>1.52</v>
      </c>
      <c r="E43" s="347">
        <v>1.6</v>
      </c>
      <c r="F43" s="346">
        <v>1.47</v>
      </c>
      <c r="G43" s="346">
        <v>1.38</v>
      </c>
      <c r="H43" s="346">
        <v>1.42</v>
      </c>
      <c r="I43" s="346">
        <v>1.52</v>
      </c>
      <c r="J43" s="346">
        <v>1.59</v>
      </c>
      <c r="K43" s="347">
        <v>1.7</v>
      </c>
      <c r="L43" s="348">
        <f aca="true" t="shared" si="4" ref="L43:R43">L13/L42*100</f>
        <v>1.746463135428793</v>
      </c>
      <c r="M43" s="348">
        <f t="shared" si="4"/>
        <v>1.6933996092362342</v>
      </c>
      <c r="N43" s="348">
        <f t="shared" si="4"/>
        <v>1.7264324731903486</v>
      </c>
      <c r="O43" s="349">
        <f t="shared" si="4"/>
        <v>1.7291815298507465</v>
      </c>
      <c r="P43" s="349">
        <f t="shared" si="4"/>
        <v>1.649684033654391</v>
      </c>
      <c r="Q43" s="350">
        <f t="shared" si="4"/>
        <v>1.6074261368887695</v>
      </c>
      <c r="R43" s="351">
        <f t="shared" si="4"/>
        <v>1.6085992972410201</v>
      </c>
    </row>
    <row r="44" spans="1:18" ht="7.5" customHeight="1">
      <c r="A44" s="352"/>
      <c r="B44" s="353"/>
      <c r="C44" s="353"/>
      <c r="D44" s="353"/>
      <c r="E44" s="354"/>
      <c r="F44" s="353"/>
      <c r="G44" s="353"/>
      <c r="H44" s="353"/>
      <c r="I44" s="353"/>
      <c r="J44" s="353"/>
      <c r="K44" s="354"/>
      <c r="L44" s="355"/>
      <c r="M44" s="355"/>
      <c r="N44" s="355"/>
      <c r="O44" s="356"/>
      <c r="P44" s="356"/>
      <c r="Q44" s="356"/>
      <c r="R44" s="356"/>
    </row>
    <row r="45" spans="1:15" ht="12.75">
      <c r="A45" s="353" t="s">
        <v>823</v>
      </c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7"/>
      <c r="N45" s="357"/>
      <c r="O45" s="357"/>
    </row>
    <row r="46" spans="1:2" ht="12.75">
      <c r="A46" s="358" t="s">
        <v>824</v>
      </c>
      <c r="B46" s="357"/>
    </row>
    <row r="47" s="287" customFormat="1" ht="11.25">
      <c r="A47" s="287" t="s">
        <v>825</v>
      </c>
    </row>
    <row r="48" s="287" customFormat="1" ht="11.25">
      <c r="A48" s="287" t="s">
        <v>826</v>
      </c>
    </row>
    <row r="49" spans="1:18" ht="24.75" customHeight="1">
      <c r="A49" s="1325" t="s">
        <v>827</v>
      </c>
      <c r="B49" s="1325"/>
      <c r="C49" s="1325"/>
      <c r="D49" s="1325"/>
      <c r="E49" s="1325"/>
      <c r="F49" s="1325"/>
      <c r="G49" s="1325"/>
      <c r="H49" s="1325"/>
      <c r="I49" s="1325"/>
      <c r="J49" s="1325"/>
      <c r="K49" s="1325"/>
      <c r="L49" s="1325"/>
      <c r="M49" s="1325"/>
      <c r="N49" s="1325"/>
      <c r="O49" s="1325"/>
      <c r="P49" s="1325"/>
      <c r="Q49" s="1325"/>
      <c r="R49" s="1325"/>
    </row>
    <row r="50" spans="10:13" ht="12.75">
      <c r="J50" s="359"/>
      <c r="M50" s="360"/>
    </row>
    <row r="51" spans="1:18" s="707" customFormat="1" ht="14.25">
      <c r="A51" s="682" t="s">
        <v>829</v>
      </c>
      <c r="J51" s="708"/>
      <c r="M51" s="709"/>
      <c r="N51" s="707" t="s">
        <v>830</v>
      </c>
      <c r="Q51" s="1326" t="s">
        <v>1573</v>
      </c>
      <c r="R51" s="1326"/>
    </row>
  </sheetData>
  <mergeCells count="3">
    <mergeCell ref="A3:R3"/>
    <mergeCell ref="A49:R49"/>
    <mergeCell ref="Q51:R51"/>
  </mergeCells>
  <printOptions horizontalCentered="1"/>
  <pageMargins left="0.7874015748031497" right="0.7874015748031497" top="0.984251968503937" bottom="0.5905511811023623" header="0.7086614173228347" footer="0.11811023622047245"/>
  <pageSetup fitToHeight="1" fitToWidth="1" horizontalDpi="600" verticalDpi="600" orientation="landscape" paperSize="9" scale="64" r:id="rId1"/>
  <headerFooter alignWithMargins="0">
    <oddFooter>&amp;C&amp;12&amp;P+183
&amp;11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3">
      <selection activeCell="B30" sqref="B30"/>
    </sheetView>
  </sheetViews>
  <sheetFormatPr defaultColWidth="9.00390625" defaultRowHeight="12.75"/>
  <cols>
    <col min="1" max="1" width="34.75390625" style="0" bestFit="1" customWidth="1"/>
    <col min="2" max="2" width="7.625" style="1159" customWidth="1"/>
    <col min="3" max="6" width="13.75390625" style="0" customWidth="1"/>
    <col min="7" max="7" width="12.75390625" style="0" customWidth="1"/>
    <col min="8" max="8" width="8.75390625" style="0" customWidth="1"/>
    <col min="9" max="9" width="12.75390625" style="0" customWidth="1"/>
    <col min="10" max="13" width="8.75390625" style="0" customWidth="1"/>
    <col min="14" max="14" width="12.75390625" style="0" customWidth="1"/>
    <col min="16" max="16" width="7.375" style="0" customWidth="1"/>
  </cols>
  <sheetData>
    <row r="1" spans="1:14" s="364" customFormat="1" ht="18">
      <c r="A1" s="1180" t="s">
        <v>1543</v>
      </c>
      <c r="B1" s="1181"/>
      <c r="M1" s="1254" t="s">
        <v>423</v>
      </c>
      <c r="N1" s="1254"/>
    </row>
    <row r="2" spans="1:14" s="364" customFormat="1" ht="18">
      <c r="A2" s="1180"/>
      <c r="B2" s="1181"/>
      <c r="M2" s="1158"/>
      <c r="N2" s="1158"/>
    </row>
    <row r="3" spans="1:14" ht="23.25">
      <c r="A3" s="1327" t="s">
        <v>424</v>
      </c>
      <c r="B3" s="1327"/>
      <c r="C3" s="1327"/>
      <c r="D3" s="1327"/>
      <c r="E3" s="1327"/>
      <c r="F3" s="1327"/>
      <c r="G3" s="1327"/>
      <c r="H3" s="1327"/>
      <c r="I3" s="1327"/>
      <c r="J3" s="1327"/>
      <c r="K3" s="1327"/>
      <c r="L3" s="1327"/>
      <c r="M3" s="1327"/>
      <c r="N3" s="1327"/>
    </row>
    <row r="5" ht="12.75">
      <c r="A5" t="s">
        <v>425</v>
      </c>
    </row>
    <row r="7" spans="1:14" ht="13.5" thickBot="1">
      <c r="A7" s="1160"/>
      <c r="B7" s="1161"/>
      <c r="C7" s="1160"/>
      <c r="D7" s="1160"/>
      <c r="E7" s="1160"/>
      <c r="F7" s="1160"/>
      <c r="G7" s="1160"/>
      <c r="H7" s="1160"/>
      <c r="I7" s="1160"/>
      <c r="J7" s="1160"/>
      <c r="K7" s="1160"/>
      <c r="L7" s="1160"/>
      <c r="M7" s="1160"/>
      <c r="N7" s="1162" t="s">
        <v>2076</v>
      </c>
    </row>
    <row r="8" spans="1:14" ht="63.75">
      <c r="A8" s="1163" t="s">
        <v>2158</v>
      </c>
      <c r="B8" s="1164" t="s">
        <v>2159</v>
      </c>
      <c r="C8" s="1164" t="s">
        <v>2080</v>
      </c>
      <c r="D8" s="1164" t="s">
        <v>2081</v>
      </c>
      <c r="E8" s="1164" t="s">
        <v>2082</v>
      </c>
      <c r="F8" s="1164" t="s">
        <v>2083</v>
      </c>
      <c r="G8" s="1164" t="s">
        <v>2084</v>
      </c>
      <c r="H8" s="1164" t="s">
        <v>2085</v>
      </c>
      <c r="I8" s="1164" t="s">
        <v>2086</v>
      </c>
      <c r="J8" s="1164" t="s">
        <v>2087</v>
      </c>
      <c r="K8" s="1164" t="s">
        <v>2088</v>
      </c>
      <c r="L8" s="1164" t="s">
        <v>2089</v>
      </c>
      <c r="M8" s="1164" t="s">
        <v>2090</v>
      </c>
      <c r="N8" s="1166" t="s">
        <v>2091</v>
      </c>
    </row>
    <row r="9" spans="1:14" ht="12.75">
      <c r="A9" s="1167"/>
      <c r="B9" s="1168" t="s">
        <v>2160</v>
      </c>
      <c r="C9" s="1168" t="s">
        <v>2161</v>
      </c>
      <c r="D9" s="1168" t="s">
        <v>2162</v>
      </c>
      <c r="E9" s="1168" t="s">
        <v>2163</v>
      </c>
      <c r="F9" s="1168" t="s">
        <v>2164</v>
      </c>
      <c r="G9" s="1168" t="s">
        <v>2165</v>
      </c>
      <c r="H9" s="1168" t="s">
        <v>2166</v>
      </c>
      <c r="I9" s="1168" t="s">
        <v>2167</v>
      </c>
      <c r="J9" s="1168" t="s">
        <v>2168</v>
      </c>
      <c r="K9" s="1168" t="s">
        <v>2169</v>
      </c>
      <c r="L9" s="1168" t="s">
        <v>1337</v>
      </c>
      <c r="M9" s="1168" t="s">
        <v>1338</v>
      </c>
      <c r="N9" s="1169" t="s">
        <v>1339</v>
      </c>
    </row>
    <row r="10" spans="1:14" ht="24.75" customHeight="1">
      <c r="A10" s="1170" t="s">
        <v>2170</v>
      </c>
      <c r="B10" s="1171" t="s">
        <v>2171</v>
      </c>
      <c r="C10" s="1172">
        <v>7482668</v>
      </c>
      <c r="D10" s="1172">
        <v>10280618</v>
      </c>
      <c r="E10" s="1172">
        <v>11088261.27</v>
      </c>
      <c r="F10" s="1172">
        <v>8736003.14</v>
      </c>
      <c r="G10" s="1172">
        <v>2352258.13</v>
      </c>
      <c r="H10" s="1172">
        <v>0</v>
      </c>
      <c r="I10" s="1172">
        <v>2352258.13</v>
      </c>
      <c r="J10" s="1172">
        <v>0</v>
      </c>
      <c r="K10" s="1172">
        <v>0</v>
      </c>
      <c r="L10" s="1172">
        <v>0</v>
      </c>
      <c r="M10" s="1172">
        <v>0</v>
      </c>
      <c r="N10" s="1173">
        <v>2352258.13</v>
      </c>
    </row>
    <row r="11" spans="1:14" ht="24.75" customHeight="1">
      <c r="A11" s="1170" t="s">
        <v>2172</v>
      </c>
      <c r="B11" s="1171" t="s">
        <v>2173</v>
      </c>
      <c r="C11" s="1172">
        <v>1336698</v>
      </c>
      <c r="D11" s="1172">
        <v>1899276</v>
      </c>
      <c r="E11" s="1172">
        <v>1956431.83</v>
      </c>
      <c r="F11" s="1172">
        <v>432156.48</v>
      </c>
      <c r="G11" s="1172">
        <v>1524275.34</v>
      </c>
      <c r="H11" s="1172">
        <v>0</v>
      </c>
      <c r="I11" s="1172">
        <v>1524275.34</v>
      </c>
      <c r="J11" s="1172">
        <v>0</v>
      </c>
      <c r="K11" s="1172">
        <v>0</v>
      </c>
      <c r="L11" s="1172">
        <v>0</v>
      </c>
      <c r="M11" s="1172">
        <v>0</v>
      </c>
      <c r="N11" s="1173">
        <v>1524275.34</v>
      </c>
    </row>
    <row r="12" spans="1:14" ht="24.75" customHeight="1">
      <c r="A12" s="1170" t="s">
        <v>2174</v>
      </c>
      <c r="B12" s="1171" t="s">
        <v>2093</v>
      </c>
      <c r="C12" s="1172">
        <v>223361</v>
      </c>
      <c r="D12" s="1172">
        <v>384273</v>
      </c>
      <c r="E12" s="1172">
        <v>384273</v>
      </c>
      <c r="F12" s="1172">
        <v>31868.72</v>
      </c>
      <c r="G12" s="1172">
        <v>352404.28</v>
      </c>
      <c r="H12" s="1172">
        <v>0</v>
      </c>
      <c r="I12" s="1172">
        <v>352404.28</v>
      </c>
      <c r="J12" s="1172">
        <v>0</v>
      </c>
      <c r="K12" s="1172">
        <v>0</v>
      </c>
      <c r="L12" s="1172">
        <v>0</v>
      </c>
      <c r="M12" s="1172">
        <v>0</v>
      </c>
      <c r="N12" s="1173">
        <v>352404.28</v>
      </c>
    </row>
    <row r="13" spans="1:14" ht="24.75" customHeight="1">
      <c r="A13" s="1170" t="s">
        <v>2175</v>
      </c>
      <c r="B13" s="1171" t="s">
        <v>2102</v>
      </c>
      <c r="C13" s="1172">
        <v>1113337</v>
      </c>
      <c r="D13" s="1172">
        <v>1515003</v>
      </c>
      <c r="E13" s="1172">
        <v>1572158.83</v>
      </c>
      <c r="F13" s="1172">
        <v>400287.77</v>
      </c>
      <c r="G13" s="1172">
        <v>1171871.06</v>
      </c>
      <c r="H13" s="1172">
        <v>0</v>
      </c>
      <c r="I13" s="1172">
        <v>1171871.06</v>
      </c>
      <c r="J13" s="1172">
        <v>0</v>
      </c>
      <c r="K13" s="1172">
        <v>0</v>
      </c>
      <c r="L13" s="1172">
        <v>0</v>
      </c>
      <c r="M13" s="1172">
        <v>0</v>
      </c>
      <c r="N13" s="1173">
        <v>1171871.06</v>
      </c>
    </row>
    <row r="14" spans="1:14" ht="24.75" customHeight="1">
      <c r="A14" s="1170" t="s">
        <v>2176</v>
      </c>
      <c r="B14" s="1171" t="s">
        <v>2177</v>
      </c>
      <c r="C14" s="1172">
        <v>32184</v>
      </c>
      <c r="D14" s="1172">
        <v>32469</v>
      </c>
      <c r="E14" s="1172">
        <v>34117.32</v>
      </c>
      <c r="F14" s="1172">
        <v>15481.34</v>
      </c>
      <c r="G14" s="1172">
        <v>18635.99</v>
      </c>
      <c r="H14" s="1172">
        <v>0</v>
      </c>
      <c r="I14" s="1172">
        <v>18635.99</v>
      </c>
      <c r="J14" s="1172">
        <v>0</v>
      </c>
      <c r="K14" s="1172">
        <v>0</v>
      </c>
      <c r="L14" s="1172">
        <v>0</v>
      </c>
      <c r="M14" s="1172">
        <v>0</v>
      </c>
      <c r="N14" s="1173">
        <v>18635.99</v>
      </c>
    </row>
    <row r="15" spans="1:14" ht="24.75" customHeight="1">
      <c r="A15" s="1170" t="s">
        <v>2174</v>
      </c>
      <c r="B15" s="1171" t="s">
        <v>2106</v>
      </c>
      <c r="C15" s="1172">
        <v>4828</v>
      </c>
      <c r="D15" s="1172">
        <v>5113</v>
      </c>
      <c r="E15" s="1172">
        <v>5360.25</v>
      </c>
      <c r="F15" s="1172">
        <v>2506.07</v>
      </c>
      <c r="G15" s="1172">
        <v>2854.18</v>
      </c>
      <c r="H15" s="1172">
        <v>0</v>
      </c>
      <c r="I15" s="1172">
        <v>2854.18</v>
      </c>
      <c r="J15" s="1172">
        <v>0</v>
      </c>
      <c r="K15" s="1172">
        <v>0</v>
      </c>
      <c r="L15" s="1172">
        <v>0</v>
      </c>
      <c r="M15" s="1172">
        <v>0</v>
      </c>
      <c r="N15" s="1173">
        <v>2854.18</v>
      </c>
    </row>
    <row r="16" spans="1:14" ht="24.75" customHeight="1">
      <c r="A16" s="1170" t="s">
        <v>2178</v>
      </c>
      <c r="B16" s="1171" t="s">
        <v>2108</v>
      </c>
      <c r="C16" s="1172">
        <v>27356</v>
      </c>
      <c r="D16" s="1172">
        <v>27356</v>
      </c>
      <c r="E16" s="1172">
        <v>28757.08</v>
      </c>
      <c r="F16" s="1172">
        <v>12975.27</v>
      </c>
      <c r="G16" s="1172">
        <v>15781.81</v>
      </c>
      <c r="H16" s="1172">
        <v>0</v>
      </c>
      <c r="I16" s="1172">
        <v>15781.81</v>
      </c>
      <c r="J16" s="1172">
        <v>0</v>
      </c>
      <c r="K16" s="1172">
        <v>0</v>
      </c>
      <c r="L16" s="1172">
        <v>0</v>
      </c>
      <c r="M16" s="1172">
        <v>0</v>
      </c>
      <c r="N16" s="1173">
        <v>15781.81</v>
      </c>
    </row>
    <row r="17" spans="1:14" ht="24.75" customHeight="1">
      <c r="A17" s="1170" t="s">
        <v>2179</v>
      </c>
      <c r="B17" s="1171" t="s">
        <v>2180</v>
      </c>
      <c r="C17" s="1172">
        <v>0</v>
      </c>
      <c r="D17" s="1172">
        <v>0</v>
      </c>
      <c r="E17" s="1172">
        <v>0</v>
      </c>
      <c r="F17" s="1172">
        <v>0</v>
      </c>
      <c r="G17" s="1172">
        <v>0</v>
      </c>
      <c r="H17" s="1172">
        <v>0</v>
      </c>
      <c r="I17" s="1172">
        <v>0</v>
      </c>
      <c r="J17" s="1172">
        <v>0</v>
      </c>
      <c r="K17" s="1172">
        <v>0</v>
      </c>
      <c r="L17" s="1172">
        <v>0</v>
      </c>
      <c r="M17" s="1172">
        <v>0</v>
      </c>
      <c r="N17" s="1173">
        <v>0</v>
      </c>
    </row>
    <row r="18" spans="1:14" ht="24.75" customHeight="1">
      <c r="A18" s="1170" t="s">
        <v>2181</v>
      </c>
      <c r="B18" s="1171" t="s">
        <v>2110</v>
      </c>
      <c r="C18" s="1172">
        <v>6069756</v>
      </c>
      <c r="D18" s="1172">
        <v>7395674</v>
      </c>
      <c r="E18" s="1172">
        <v>8138510.64</v>
      </c>
      <c r="F18" s="1172">
        <v>7687478.39</v>
      </c>
      <c r="G18" s="1172">
        <v>451032.25</v>
      </c>
      <c r="H18" s="1172">
        <v>0</v>
      </c>
      <c r="I18" s="1172">
        <v>451032.25</v>
      </c>
      <c r="J18" s="1172">
        <v>0</v>
      </c>
      <c r="K18" s="1172">
        <v>0</v>
      </c>
      <c r="L18" s="1172">
        <v>0</v>
      </c>
      <c r="M18" s="1172">
        <v>0</v>
      </c>
      <c r="N18" s="1173">
        <v>451032.25</v>
      </c>
    </row>
    <row r="19" spans="1:14" ht="24.75" customHeight="1">
      <c r="A19" s="1170" t="s">
        <v>2182</v>
      </c>
      <c r="B19" s="1171" t="s">
        <v>2183</v>
      </c>
      <c r="C19" s="1172">
        <v>44030</v>
      </c>
      <c r="D19" s="1172">
        <v>46633</v>
      </c>
      <c r="E19" s="1172">
        <v>50126.55</v>
      </c>
      <c r="F19" s="1172">
        <v>44947.24</v>
      </c>
      <c r="G19" s="1172">
        <v>5179.3</v>
      </c>
      <c r="H19" s="1172">
        <v>0</v>
      </c>
      <c r="I19" s="1172">
        <v>5179.3</v>
      </c>
      <c r="J19" s="1172">
        <v>0</v>
      </c>
      <c r="K19" s="1172">
        <v>0</v>
      </c>
      <c r="L19" s="1172">
        <v>0</v>
      </c>
      <c r="M19" s="1172">
        <v>0</v>
      </c>
      <c r="N19" s="1173">
        <v>5179.3</v>
      </c>
    </row>
    <row r="20" spans="1:14" ht="24.75" customHeight="1">
      <c r="A20" s="1170" t="s">
        <v>2184</v>
      </c>
      <c r="B20" s="1171" t="s">
        <v>2133</v>
      </c>
      <c r="C20" s="1172">
        <v>0</v>
      </c>
      <c r="D20" s="1172">
        <v>906566</v>
      </c>
      <c r="E20" s="1172">
        <v>909074.93</v>
      </c>
      <c r="F20" s="1172">
        <v>555939.68</v>
      </c>
      <c r="G20" s="1172">
        <v>353135.25</v>
      </c>
      <c r="H20" s="1172">
        <v>0</v>
      </c>
      <c r="I20" s="1172">
        <v>353135.25</v>
      </c>
      <c r="J20" s="1172">
        <v>0</v>
      </c>
      <c r="K20" s="1172">
        <v>0</v>
      </c>
      <c r="L20" s="1172">
        <v>0</v>
      </c>
      <c r="M20" s="1172">
        <v>0</v>
      </c>
      <c r="N20" s="1173">
        <v>353135.25</v>
      </c>
    </row>
    <row r="21" spans="1:14" ht="24.75" customHeight="1">
      <c r="A21" s="1170" t="s">
        <v>2185</v>
      </c>
      <c r="B21" s="1171" t="s">
        <v>2186</v>
      </c>
      <c r="C21" s="1172">
        <v>43872030</v>
      </c>
      <c r="D21" s="1172">
        <v>43395506</v>
      </c>
      <c r="E21" s="1172">
        <v>43702195.79</v>
      </c>
      <c r="F21" s="1172">
        <v>43587568.01</v>
      </c>
      <c r="G21" s="1172">
        <v>114627.78</v>
      </c>
      <c r="H21" s="1172">
        <v>0</v>
      </c>
      <c r="I21" s="1172">
        <v>114627.78</v>
      </c>
      <c r="J21" s="1172">
        <v>0</v>
      </c>
      <c r="K21" s="1172">
        <v>0</v>
      </c>
      <c r="L21" s="1172">
        <v>0</v>
      </c>
      <c r="M21" s="1172">
        <v>0</v>
      </c>
      <c r="N21" s="1173">
        <v>114627.78</v>
      </c>
    </row>
    <row r="22" spans="1:14" ht="24.75" customHeight="1" thickBot="1">
      <c r="A22" s="1174" t="s">
        <v>2187</v>
      </c>
      <c r="B22" s="1175" t="s">
        <v>2188</v>
      </c>
      <c r="C22" s="1176">
        <v>51354698</v>
      </c>
      <c r="D22" s="1176">
        <v>53676124</v>
      </c>
      <c r="E22" s="1176">
        <v>54790457.05</v>
      </c>
      <c r="F22" s="1176">
        <v>52323571.15</v>
      </c>
      <c r="G22" s="1176">
        <v>2466885.9</v>
      </c>
      <c r="H22" s="1176">
        <v>0</v>
      </c>
      <c r="I22" s="1176">
        <v>2466885.9</v>
      </c>
      <c r="J22" s="1176">
        <v>0</v>
      </c>
      <c r="K22" s="1176">
        <v>0</v>
      </c>
      <c r="L22" s="1176">
        <v>0</v>
      </c>
      <c r="M22" s="1176">
        <v>0</v>
      </c>
      <c r="N22" s="1177">
        <v>2466885.9</v>
      </c>
    </row>
    <row r="24" spans="1:14" s="707" customFormat="1" ht="14.25">
      <c r="A24" s="682"/>
      <c r="J24" s="708"/>
      <c r="L24" s="1326"/>
      <c r="M24" s="1326"/>
      <c r="N24" s="1326"/>
    </row>
    <row r="25" spans="1:13" s="1184" customFormat="1" ht="14.25">
      <c r="A25" s="1182" t="s">
        <v>426</v>
      </c>
      <c r="B25" s="1183"/>
      <c r="F25" s="1184" t="s">
        <v>427</v>
      </c>
      <c r="M25" s="1184" t="s">
        <v>428</v>
      </c>
    </row>
    <row r="30" spans="3:4" ht="12.75">
      <c r="C30" s="1179"/>
      <c r="D30" s="1179"/>
    </row>
    <row r="31" spans="3:4" ht="12.75">
      <c r="C31" s="1179"/>
      <c r="D31" s="1179"/>
    </row>
    <row r="32" spans="3:4" ht="12.75">
      <c r="C32" s="1179"/>
      <c r="D32" s="1179"/>
    </row>
    <row r="33" spans="3:4" ht="12.75">
      <c r="C33" s="1179"/>
      <c r="D33" s="1179"/>
    </row>
    <row r="34" spans="3:4" ht="12.75">
      <c r="C34" s="1179"/>
      <c r="D34" s="1179"/>
    </row>
    <row r="35" spans="3:4" ht="12.75">
      <c r="C35" s="1179"/>
      <c r="D35" s="1179"/>
    </row>
    <row r="36" spans="3:4" ht="12.75">
      <c r="C36" s="1179"/>
      <c r="D36" s="1179"/>
    </row>
    <row r="37" spans="3:4" ht="12.75">
      <c r="C37" s="1179"/>
      <c r="D37" s="1179"/>
    </row>
    <row r="38" spans="3:4" ht="12.75">
      <c r="C38" s="1179"/>
      <c r="D38" s="1179"/>
    </row>
    <row r="39" spans="3:4" ht="12.75">
      <c r="C39" s="1179"/>
      <c r="D39" s="1179"/>
    </row>
    <row r="40" spans="3:4" ht="12.75">
      <c r="C40" s="1179"/>
      <c r="D40" s="1179"/>
    </row>
    <row r="41" spans="3:4" ht="12.75">
      <c r="C41" s="1179"/>
      <c r="D41" s="1179"/>
    </row>
    <row r="42" spans="3:4" ht="12.75">
      <c r="C42" s="1179"/>
      <c r="D42" s="1179"/>
    </row>
  </sheetData>
  <mergeCells count="3">
    <mergeCell ref="A3:N3"/>
    <mergeCell ref="M1:N1"/>
    <mergeCell ref="L24:N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  <headerFooter alignWithMargins="0">
    <oddFooter>&amp;C&amp;12&amp;P+184&amp;10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E5">
      <selection activeCell="A2" sqref="A2:IV2"/>
    </sheetView>
  </sheetViews>
  <sheetFormatPr defaultColWidth="9.00390625" defaultRowHeight="12.75"/>
  <cols>
    <col min="1" max="1" width="46.75390625" style="0" bestFit="1" customWidth="1"/>
    <col min="2" max="2" width="9.75390625" style="1159" customWidth="1"/>
    <col min="3" max="3" width="11.75390625" style="1159" customWidth="1"/>
    <col min="4" max="7" width="13.25390625" style="0" bestFit="1" customWidth="1"/>
    <col min="8" max="8" width="11.875" style="0" bestFit="1" customWidth="1"/>
    <col min="9" max="10" width="12.75390625" style="0" customWidth="1"/>
    <col min="11" max="11" width="10.00390625" style="0" bestFit="1" customWidth="1"/>
    <col min="12" max="12" width="10.625" style="0" bestFit="1" customWidth="1"/>
    <col min="13" max="13" width="10.75390625" style="0" customWidth="1"/>
    <col min="14" max="14" width="10.375" style="0" customWidth="1"/>
    <col min="15" max="15" width="12.75390625" style="0" customWidth="1"/>
  </cols>
  <sheetData>
    <row r="1" spans="1:15" s="364" customFormat="1" ht="18">
      <c r="A1" s="1180" t="s">
        <v>1543</v>
      </c>
      <c r="B1" s="1181"/>
      <c r="M1" s="1254"/>
      <c r="N1" s="1254"/>
      <c r="O1" s="1254"/>
    </row>
    <row r="2" spans="1:15" s="364" customFormat="1" ht="18">
      <c r="A2" s="1180"/>
      <c r="B2" s="1181"/>
      <c r="M2" s="1158"/>
      <c r="N2" s="1158"/>
      <c r="O2" s="1158"/>
    </row>
    <row r="3" spans="1:15" ht="23.25">
      <c r="A3" s="1330" t="s">
        <v>429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</row>
    <row r="5" ht="12.75">
      <c r="A5" t="s">
        <v>425</v>
      </c>
    </row>
    <row r="7" spans="1:15" ht="13.5" thickBot="1">
      <c r="A7" s="1160"/>
      <c r="B7" s="1161"/>
      <c r="C7" s="1161"/>
      <c r="D7" s="1160"/>
      <c r="E7" s="1160"/>
      <c r="F7" s="1160"/>
      <c r="G7" s="1160"/>
      <c r="H7" s="1160"/>
      <c r="I7" s="1160"/>
      <c r="J7" s="1160"/>
      <c r="K7" s="1160"/>
      <c r="O7" s="1162" t="s">
        <v>2076</v>
      </c>
    </row>
    <row r="8" spans="1:15" ht="63.75">
      <c r="A8" s="1163" t="s">
        <v>2077</v>
      </c>
      <c r="B8" s="1164" t="s">
        <v>2078</v>
      </c>
      <c r="C8" s="1164" t="s">
        <v>2079</v>
      </c>
      <c r="D8" s="1164" t="s">
        <v>2080</v>
      </c>
      <c r="E8" s="1164" t="s">
        <v>2081</v>
      </c>
      <c r="F8" s="1164" t="s">
        <v>2082</v>
      </c>
      <c r="G8" s="1164" t="s">
        <v>2083</v>
      </c>
      <c r="H8" s="1164" t="s">
        <v>2084</v>
      </c>
      <c r="I8" s="1164" t="s">
        <v>2085</v>
      </c>
      <c r="J8" s="1164" t="s">
        <v>2086</v>
      </c>
      <c r="K8" s="1164" t="s">
        <v>2087</v>
      </c>
      <c r="L8" s="1165" t="s">
        <v>2088</v>
      </c>
      <c r="M8" s="1165" t="s">
        <v>2089</v>
      </c>
      <c r="N8" s="1165" t="s">
        <v>2090</v>
      </c>
      <c r="O8" s="1166" t="s">
        <v>2091</v>
      </c>
    </row>
    <row r="9" spans="1:15" ht="12.75">
      <c r="A9" s="1167"/>
      <c r="B9" s="1168" t="s">
        <v>2074</v>
      </c>
      <c r="C9" s="1168" t="s">
        <v>1740</v>
      </c>
      <c r="D9" s="1168">
        <v>21</v>
      </c>
      <c r="E9" s="1168">
        <v>22</v>
      </c>
      <c r="F9" s="1168">
        <v>23</v>
      </c>
      <c r="G9" s="1168">
        <v>24</v>
      </c>
      <c r="H9" s="1168">
        <v>25</v>
      </c>
      <c r="I9" s="1168">
        <v>26</v>
      </c>
      <c r="J9" s="1168">
        <v>27</v>
      </c>
      <c r="K9" s="1168">
        <v>28</v>
      </c>
      <c r="L9" s="1168">
        <v>29</v>
      </c>
      <c r="M9" s="1168">
        <v>30</v>
      </c>
      <c r="N9" s="1168">
        <v>31</v>
      </c>
      <c r="O9" s="1169">
        <v>32</v>
      </c>
    </row>
    <row r="10" spans="1:15" ht="24.75" customHeight="1">
      <c r="A10" s="1170" t="s">
        <v>2092</v>
      </c>
      <c r="B10" s="1171" t="s">
        <v>2093</v>
      </c>
      <c r="C10" s="1171" t="s">
        <v>2094</v>
      </c>
      <c r="D10" s="1172">
        <v>0</v>
      </c>
      <c r="E10" s="1172">
        <v>136</v>
      </c>
      <c r="F10" s="1172">
        <v>136</v>
      </c>
      <c r="G10" s="1172">
        <v>131.89</v>
      </c>
      <c r="H10" s="1172">
        <v>4.11</v>
      </c>
      <c r="I10" s="1172">
        <v>0</v>
      </c>
      <c r="J10" s="1172">
        <v>4.11</v>
      </c>
      <c r="K10" s="1172">
        <v>0</v>
      </c>
      <c r="L10" s="1172">
        <v>0</v>
      </c>
      <c r="M10" s="1172">
        <v>0</v>
      </c>
      <c r="N10" s="1172">
        <v>0</v>
      </c>
      <c r="O10" s="1173">
        <v>4.11</v>
      </c>
    </row>
    <row r="11" spans="1:15" ht="24.75" customHeight="1">
      <c r="A11" s="1170" t="s">
        <v>2095</v>
      </c>
      <c r="B11" s="1171" t="s">
        <v>2093</v>
      </c>
      <c r="C11" s="1171" t="s">
        <v>2096</v>
      </c>
      <c r="D11" s="1172">
        <v>37556</v>
      </c>
      <c r="E11" s="1172">
        <v>27741</v>
      </c>
      <c r="F11" s="1172">
        <v>27741</v>
      </c>
      <c r="G11" s="1172">
        <v>476.66</v>
      </c>
      <c r="H11" s="1172">
        <v>27264.34</v>
      </c>
      <c r="I11" s="1172">
        <v>0</v>
      </c>
      <c r="J11" s="1172">
        <v>27264.34</v>
      </c>
      <c r="K11" s="1172">
        <v>0</v>
      </c>
      <c r="L11" s="1172">
        <v>0</v>
      </c>
      <c r="M11" s="1172">
        <v>0</v>
      </c>
      <c r="N11" s="1172">
        <v>0</v>
      </c>
      <c r="O11" s="1173">
        <v>27264.34</v>
      </c>
    </row>
    <row r="12" spans="1:15" ht="24.75" customHeight="1">
      <c r="A12" s="1170" t="s">
        <v>2097</v>
      </c>
      <c r="B12" s="1171" t="s">
        <v>2093</v>
      </c>
      <c r="C12" s="1171" t="s">
        <v>2098</v>
      </c>
      <c r="D12" s="1172">
        <v>0</v>
      </c>
      <c r="E12" s="1172">
        <v>1122</v>
      </c>
      <c r="F12" s="1172">
        <v>1122</v>
      </c>
      <c r="G12" s="1172">
        <v>0</v>
      </c>
      <c r="H12" s="1172">
        <v>1122</v>
      </c>
      <c r="I12" s="1172">
        <v>0</v>
      </c>
      <c r="J12" s="1172">
        <v>1122</v>
      </c>
      <c r="K12" s="1172">
        <v>0</v>
      </c>
      <c r="L12" s="1172">
        <v>0</v>
      </c>
      <c r="M12" s="1172">
        <v>0</v>
      </c>
      <c r="N12" s="1172">
        <v>0</v>
      </c>
      <c r="O12" s="1173">
        <v>1122</v>
      </c>
    </row>
    <row r="13" spans="1:15" ht="24.75" customHeight="1">
      <c r="A13" s="1170" t="s">
        <v>2099</v>
      </c>
      <c r="B13" s="1171" t="s">
        <v>2093</v>
      </c>
      <c r="C13" s="1171" t="s">
        <v>2100</v>
      </c>
      <c r="D13" s="1172">
        <v>180250</v>
      </c>
      <c r="E13" s="1172">
        <v>350515</v>
      </c>
      <c r="F13" s="1172">
        <v>350515</v>
      </c>
      <c r="G13" s="1172">
        <v>28815.09</v>
      </c>
      <c r="H13" s="1172">
        <v>321699.91</v>
      </c>
      <c r="I13" s="1172">
        <v>0</v>
      </c>
      <c r="J13" s="1172">
        <v>321699.91</v>
      </c>
      <c r="K13" s="1172">
        <v>0</v>
      </c>
      <c r="L13" s="1172">
        <v>0</v>
      </c>
      <c r="M13" s="1172">
        <v>0</v>
      </c>
      <c r="N13" s="1172">
        <v>0</v>
      </c>
      <c r="O13" s="1173">
        <v>321699.91</v>
      </c>
    </row>
    <row r="14" spans="1:15" ht="24.75" customHeight="1">
      <c r="A14" s="1170" t="s">
        <v>2092</v>
      </c>
      <c r="B14" s="1171" t="s">
        <v>2093</v>
      </c>
      <c r="C14" s="1171" t="s">
        <v>2101</v>
      </c>
      <c r="D14" s="1172">
        <v>5555</v>
      </c>
      <c r="E14" s="1172">
        <v>4759</v>
      </c>
      <c r="F14" s="1172">
        <v>4759</v>
      </c>
      <c r="G14" s="1172">
        <v>2445.08</v>
      </c>
      <c r="H14" s="1172">
        <v>2313.92</v>
      </c>
      <c r="I14" s="1172">
        <v>0</v>
      </c>
      <c r="J14" s="1172">
        <v>2313.92</v>
      </c>
      <c r="K14" s="1172">
        <v>0</v>
      </c>
      <c r="L14" s="1172">
        <v>0</v>
      </c>
      <c r="M14" s="1172">
        <v>0</v>
      </c>
      <c r="N14" s="1172">
        <v>0</v>
      </c>
      <c r="O14" s="1173">
        <v>2313.92</v>
      </c>
    </row>
    <row r="15" spans="1:15" ht="24.75" customHeight="1">
      <c r="A15" s="1170" t="s">
        <v>2092</v>
      </c>
      <c r="B15" s="1171" t="s">
        <v>2102</v>
      </c>
      <c r="C15" s="1171" t="s">
        <v>2094</v>
      </c>
      <c r="D15" s="1172">
        <v>0</v>
      </c>
      <c r="E15" s="1172">
        <v>1330</v>
      </c>
      <c r="F15" s="1172">
        <v>3789.03</v>
      </c>
      <c r="G15" s="1172">
        <v>3768.12</v>
      </c>
      <c r="H15" s="1172">
        <v>20.91</v>
      </c>
      <c r="I15" s="1172">
        <v>0</v>
      </c>
      <c r="J15" s="1172">
        <v>20.91</v>
      </c>
      <c r="K15" s="1172">
        <v>0</v>
      </c>
      <c r="L15" s="1172">
        <v>0</v>
      </c>
      <c r="M15" s="1172">
        <v>0</v>
      </c>
      <c r="N15" s="1172">
        <v>0</v>
      </c>
      <c r="O15" s="1173">
        <v>20.91</v>
      </c>
    </row>
    <row r="16" spans="1:15" ht="24.75" customHeight="1">
      <c r="A16" s="1170" t="s">
        <v>2095</v>
      </c>
      <c r="B16" s="1171" t="s">
        <v>2102</v>
      </c>
      <c r="C16" s="1171" t="s">
        <v>2096</v>
      </c>
      <c r="D16" s="1172">
        <v>173700</v>
      </c>
      <c r="E16" s="1172">
        <v>157206</v>
      </c>
      <c r="F16" s="1172">
        <v>157206</v>
      </c>
      <c r="G16" s="1172">
        <v>2741.99</v>
      </c>
      <c r="H16" s="1172">
        <v>154464.01</v>
      </c>
      <c r="I16" s="1172">
        <v>0</v>
      </c>
      <c r="J16" s="1172">
        <v>154464.01</v>
      </c>
      <c r="K16" s="1172">
        <v>0</v>
      </c>
      <c r="L16" s="1172">
        <v>0</v>
      </c>
      <c r="M16" s="1172">
        <v>0</v>
      </c>
      <c r="N16" s="1172">
        <v>0</v>
      </c>
      <c r="O16" s="1173">
        <v>154464.01</v>
      </c>
    </row>
    <row r="17" spans="1:15" ht="24.75" customHeight="1">
      <c r="A17" s="1170" t="s">
        <v>2099</v>
      </c>
      <c r="B17" s="1171" t="s">
        <v>2102</v>
      </c>
      <c r="C17" s="1171" t="s">
        <v>2100</v>
      </c>
      <c r="D17" s="1172">
        <v>810185</v>
      </c>
      <c r="E17" s="1172">
        <v>1255036</v>
      </c>
      <c r="F17" s="1172">
        <v>1296908.1</v>
      </c>
      <c r="G17" s="1172">
        <v>372549.97</v>
      </c>
      <c r="H17" s="1172">
        <v>924358.13</v>
      </c>
      <c r="I17" s="1172">
        <v>0</v>
      </c>
      <c r="J17" s="1172">
        <v>924358.13</v>
      </c>
      <c r="K17" s="1172">
        <v>0</v>
      </c>
      <c r="L17" s="1172">
        <v>0</v>
      </c>
      <c r="M17" s="1172">
        <v>0</v>
      </c>
      <c r="N17" s="1172">
        <v>0</v>
      </c>
      <c r="O17" s="1173">
        <v>924358.13</v>
      </c>
    </row>
    <row r="18" spans="1:15" ht="24.75" customHeight="1">
      <c r="A18" s="1170" t="s">
        <v>2103</v>
      </c>
      <c r="B18" s="1171" t="s">
        <v>2102</v>
      </c>
      <c r="C18" s="1171" t="s">
        <v>2104</v>
      </c>
      <c r="D18" s="1172">
        <v>0</v>
      </c>
      <c r="E18" s="1172">
        <v>0</v>
      </c>
      <c r="F18" s="1172">
        <v>483.93</v>
      </c>
      <c r="G18" s="1172">
        <v>483.93</v>
      </c>
      <c r="H18" s="1172">
        <v>0</v>
      </c>
      <c r="I18" s="1172">
        <v>0</v>
      </c>
      <c r="J18" s="1172">
        <v>0</v>
      </c>
      <c r="K18" s="1172">
        <v>0</v>
      </c>
      <c r="L18" s="1172">
        <v>0</v>
      </c>
      <c r="M18" s="1172">
        <v>0</v>
      </c>
      <c r="N18" s="1172">
        <v>0</v>
      </c>
      <c r="O18" s="1173">
        <v>0</v>
      </c>
    </row>
    <row r="19" spans="1:15" ht="24.75" customHeight="1">
      <c r="A19" s="1170" t="s">
        <v>2092</v>
      </c>
      <c r="B19" s="1171" t="s">
        <v>2102</v>
      </c>
      <c r="C19" s="1171" t="s">
        <v>2101</v>
      </c>
      <c r="D19" s="1172">
        <v>129452</v>
      </c>
      <c r="E19" s="1172">
        <v>101431</v>
      </c>
      <c r="F19" s="1172">
        <v>113771.77</v>
      </c>
      <c r="G19" s="1172">
        <v>20743.76</v>
      </c>
      <c r="H19" s="1172">
        <v>93028.01</v>
      </c>
      <c r="I19" s="1172">
        <v>0</v>
      </c>
      <c r="J19" s="1172">
        <v>93028.01</v>
      </c>
      <c r="K19" s="1172">
        <v>0</v>
      </c>
      <c r="L19" s="1172">
        <v>0</v>
      </c>
      <c r="M19" s="1172">
        <v>0</v>
      </c>
      <c r="N19" s="1172">
        <v>0</v>
      </c>
      <c r="O19" s="1173">
        <v>93028.01</v>
      </c>
    </row>
    <row r="20" spans="1:15" ht="24.75" customHeight="1">
      <c r="A20" s="1170" t="s">
        <v>2105</v>
      </c>
      <c r="B20" s="1171" t="s">
        <v>2106</v>
      </c>
      <c r="C20" s="1171" t="s">
        <v>2107</v>
      </c>
      <c r="D20" s="1172">
        <v>4828</v>
      </c>
      <c r="E20" s="1172">
        <v>5113</v>
      </c>
      <c r="F20" s="1172">
        <v>5360.25</v>
      </c>
      <c r="G20" s="1172">
        <v>2506.07</v>
      </c>
      <c r="H20" s="1172">
        <v>2854.18</v>
      </c>
      <c r="I20" s="1172">
        <v>0</v>
      </c>
      <c r="J20" s="1172">
        <v>2854.18</v>
      </c>
      <c r="K20" s="1172">
        <v>0</v>
      </c>
      <c r="L20" s="1172">
        <v>0</v>
      </c>
      <c r="M20" s="1172">
        <v>0</v>
      </c>
      <c r="N20" s="1172">
        <v>0</v>
      </c>
      <c r="O20" s="1173">
        <v>2854.18</v>
      </c>
    </row>
    <row r="21" spans="1:15" ht="24.75" customHeight="1">
      <c r="A21" s="1170" t="s">
        <v>2105</v>
      </c>
      <c r="B21" s="1171" t="s">
        <v>2108</v>
      </c>
      <c r="C21" s="1171" t="s">
        <v>2107</v>
      </c>
      <c r="D21" s="1172">
        <v>27356</v>
      </c>
      <c r="E21" s="1172">
        <v>27356</v>
      </c>
      <c r="F21" s="1172">
        <v>28757.08</v>
      </c>
      <c r="G21" s="1172">
        <v>12975.27</v>
      </c>
      <c r="H21" s="1172">
        <v>15781.81</v>
      </c>
      <c r="I21" s="1172">
        <v>0</v>
      </c>
      <c r="J21" s="1172">
        <v>15781.81</v>
      </c>
      <c r="K21" s="1172">
        <v>0</v>
      </c>
      <c r="L21" s="1172">
        <v>0</v>
      </c>
      <c r="M21" s="1172">
        <v>0</v>
      </c>
      <c r="N21" s="1172">
        <v>0</v>
      </c>
      <c r="O21" s="1173">
        <v>15781.81</v>
      </c>
    </row>
    <row r="22" spans="1:15" ht="24.75" customHeight="1">
      <c r="A22" s="1170" t="s">
        <v>2109</v>
      </c>
      <c r="B22" s="1171" t="s">
        <v>2110</v>
      </c>
      <c r="C22" s="1171" t="s">
        <v>2111</v>
      </c>
      <c r="D22" s="1172">
        <v>66989</v>
      </c>
      <c r="E22" s="1172">
        <v>84781</v>
      </c>
      <c r="F22" s="1172">
        <v>84781</v>
      </c>
      <c r="G22" s="1172">
        <v>84614.57</v>
      </c>
      <c r="H22" s="1172">
        <v>166.43</v>
      </c>
      <c r="I22" s="1172">
        <v>0</v>
      </c>
      <c r="J22" s="1172">
        <v>166.43</v>
      </c>
      <c r="K22" s="1172">
        <v>0</v>
      </c>
      <c r="L22" s="1172">
        <v>0</v>
      </c>
      <c r="M22" s="1172">
        <v>0</v>
      </c>
      <c r="N22" s="1172">
        <v>0</v>
      </c>
      <c r="O22" s="1173">
        <v>166.43</v>
      </c>
    </row>
    <row r="23" spans="1:15" ht="24.75" customHeight="1">
      <c r="A23" s="1170" t="s">
        <v>21</v>
      </c>
      <c r="B23" s="1171" t="s">
        <v>2110</v>
      </c>
      <c r="C23" s="1171" t="s">
        <v>2112</v>
      </c>
      <c r="D23" s="1172">
        <v>60000</v>
      </c>
      <c r="E23" s="1172">
        <v>50967</v>
      </c>
      <c r="F23" s="1172">
        <v>50967</v>
      </c>
      <c r="G23" s="1172">
        <v>48120</v>
      </c>
      <c r="H23" s="1172">
        <v>2847</v>
      </c>
      <c r="I23" s="1172">
        <v>0</v>
      </c>
      <c r="J23" s="1172">
        <v>2847</v>
      </c>
      <c r="K23" s="1172">
        <v>0</v>
      </c>
      <c r="L23" s="1172">
        <v>0</v>
      </c>
      <c r="M23" s="1172">
        <v>0</v>
      </c>
      <c r="N23" s="1172">
        <v>0</v>
      </c>
      <c r="O23" s="1173">
        <v>2847</v>
      </c>
    </row>
    <row r="24" spans="1:15" ht="24.75" customHeight="1">
      <c r="A24" s="1170" t="s">
        <v>2113</v>
      </c>
      <c r="B24" s="1171" t="s">
        <v>2110</v>
      </c>
      <c r="C24" s="1171" t="s">
        <v>2114</v>
      </c>
      <c r="D24" s="1172">
        <v>200000</v>
      </c>
      <c r="E24" s="1172">
        <v>197611</v>
      </c>
      <c r="F24" s="1172">
        <v>197611</v>
      </c>
      <c r="G24" s="1172">
        <v>197580.51</v>
      </c>
      <c r="H24" s="1172">
        <v>30.49</v>
      </c>
      <c r="I24" s="1172">
        <v>0</v>
      </c>
      <c r="J24" s="1172">
        <v>30.49</v>
      </c>
      <c r="K24" s="1172">
        <v>0</v>
      </c>
      <c r="L24" s="1172">
        <v>0</v>
      </c>
      <c r="M24" s="1172">
        <v>0</v>
      </c>
      <c r="N24" s="1172">
        <v>0</v>
      </c>
      <c r="O24" s="1173">
        <v>30.49</v>
      </c>
    </row>
    <row r="25" spans="1:15" ht="24.75" customHeight="1">
      <c r="A25" s="1170" t="s">
        <v>2115</v>
      </c>
      <c r="B25" s="1171" t="s">
        <v>2110</v>
      </c>
      <c r="C25" s="1171" t="s">
        <v>2116</v>
      </c>
      <c r="D25" s="1172">
        <v>308676</v>
      </c>
      <c r="E25" s="1172">
        <v>295846</v>
      </c>
      <c r="F25" s="1172">
        <v>295846</v>
      </c>
      <c r="G25" s="1172">
        <v>261713.57</v>
      </c>
      <c r="H25" s="1172">
        <v>34132.43</v>
      </c>
      <c r="I25" s="1172">
        <v>0</v>
      </c>
      <c r="J25" s="1172">
        <v>34132.43</v>
      </c>
      <c r="K25" s="1172">
        <v>0</v>
      </c>
      <c r="L25" s="1172">
        <v>0</v>
      </c>
      <c r="M25" s="1172">
        <v>0</v>
      </c>
      <c r="N25" s="1172">
        <v>0</v>
      </c>
      <c r="O25" s="1173">
        <v>34132.43</v>
      </c>
    </row>
    <row r="26" spans="1:15" ht="24.75" customHeight="1">
      <c r="A26" s="1170" t="s">
        <v>2117</v>
      </c>
      <c r="B26" s="1171" t="s">
        <v>2110</v>
      </c>
      <c r="C26" s="1171" t="s">
        <v>2118</v>
      </c>
      <c r="D26" s="1172">
        <v>16041</v>
      </c>
      <c r="E26" s="1172">
        <v>16041</v>
      </c>
      <c r="F26" s="1172">
        <v>16907</v>
      </c>
      <c r="G26" s="1172">
        <v>16906.48</v>
      </c>
      <c r="H26" s="1172">
        <v>0.52</v>
      </c>
      <c r="I26" s="1172">
        <v>0</v>
      </c>
      <c r="J26" s="1172">
        <v>0.52</v>
      </c>
      <c r="K26" s="1172">
        <v>0</v>
      </c>
      <c r="L26" s="1172">
        <v>0</v>
      </c>
      <c r="M26" s="1172">
        <v>0</v>
      </c>
      <c r="N26" s="1172">
        <v>0</v>
      </c>
      <c r="O26" s="1173">
        <v>0.52</v>
      </c>
    </row>
    <row r="27" spans="1:15" ht="24.75" customHeight="1">
      <c r="A27" s="1170" t="s">
        <v>2119</v>
      </c>
      <c r="B27" s="1171" t="s">
        <v>2110</v>
      </c>
      <c r="C27" s="1171" t="s">
        <v>2120</v>
      </c>
      <c r="D27" s="1172">
        <v>142439</v>
      </c>
      <c r="E27" s="1172">
        <v>166351</v>
      </c>
      <c r="F27" s="1172">
        <v>189623.1</v>
      </c>
      <c r="G27" s="1172">
        <v>189450.97</v>
      </c>
      <c r="H27" s="1172">
        <v>172.12</v>
      </c>
      <c r="I27" s="1172">
        <v>0</v>
      </c>
      <c r="J27" s="1172">
        <v>172.12</v>
      </c>
      <c r="K27" s="1172">
        <v>0</v>
      </c>
      <c r="L27" s="1172">
        <v>0</v>
      </c>
      <c r="M27" s="1172">
        <v>0</v>
      </c>
      <c r="N27" s="1172">
        <v>0</v>
      </c>
      <c r="O27" s="1173">
        <v>172.12</v>
      </c>
    </row>
    <row r="28" spans="1:15" ht="24.75" customHeight="1">
      <c r="A28" s="1170" t="s">
        <v>2121</v>
      </c>
      <c r="B28" s="1171" t="s">
        <v>2110</v>
      </c>
      <c r="C28" s="1171" t="s">
        <v>2122</v>
      </c>
      <c r="D28" s="1172">
        <v>199952</v>
      </c>
      <c r="E28" s="1172">
        <v>386382</v>
      </c>
      <c r="F28" s="1172">
        <v>386391.7</v>
      </c>
      <c r="G28" s="1172">
        <v>386175.04</v>
      </c>
      <c r="H28" s="1172">
        <v>216.66</v>
      </c>
      <c r="I28" s="1172">
        <v>0</v>
      </c>
      <c r="J28" s="1172">
        <v>216.66</v>
      </c>
      <c r="K28" s="1172">
        <v>0</v>
      </c>
      <c r="L28" s="1172">
        <v>0</v>
      </c>
      <c r="M28" s="1172">
        <v>0</v>
      </c>
      <c r="N28" s="1172">
        <v>0</v>
      </c>
      <c r="O28" s="1173">
        <v>216.66</v>
      </c>
    </row>
    <row r="29" spans="1:15" ht="24.75" customHeight="1">
      <c r="A29" s="1170" t="s">
        <v>2123</v>
      </c>
      <c r="B29" s="1171" t="s">
        <v>2110</v>
      </c>
      <c r="C29" s="1171" t="s">
        <v>2124</v>
      </c>
      <c r="D29" s="1172">
        <v>2150160</v>
      </c>
      <c r="E29" s="1172">
        <v>3285776</v>
      </c>
      <c r="F29" s="1172">
        <v>3665961.79</v>
      </c>
      <c r="G29" s="1172">
        <v>3368951.83</v>
      </c>
      <c r="H29" s="1172">
        <v>297009.96</v>
      </c>
      <c r="I29" s="1172">
        <v>0</v>
      </c>
      <c r="J29" s="1172">
        <v>297009.96</v>
      </c>
      <c r="K29" s="1172">
        <v>0</v>
      </c>
      <c r="L29" s="1172">
        <v>0</v>
      </c>
      <c r="M29" s="1172">
        <v>0</v>
      </c>
      <c r="N29" s="1172">
        <v>0</v>
      </c>
      <c r="O29" s="1173">
        <v>297009.96</v>
      </c>
    </row>
    <row r="30" spans="1:15" ht="24.75" customHeight="1">
      <c r="A30" s="1170" t="s">
        <v>2125</v>
      </c>
      <c r="B30" s="1171" t="s">
        <v>2110</v>
      </c>
      <c r="C30" s="1171" t="s">
        <v>2126</v>
      </c>
      <c r="D30" s="1172">
        <v>1375702</v>
      </c>
      <c r="E30" s="1172">
        <v>1581250</v>
      </c>
      <c r="F30" s="1172">
        <v>1623180.06</v>
      </c>
      <c r="G30" s="1172">
        <v>1614351.64</v>
      </c>
      <c r="H30" s="1172">
        <v>8828.42</v>
      </c>
      <c r="I30" s="1172">
        <v>0</v>
      </c>
      <c r="J30" s="1172">
        <v>8828.42</v>
      </c>
      <c r="K30" s="1172">
        <v>0</v>
      </c>
      <c r="L30" s="1172">
        <v>0</v>
      </c>
      <c r="M30" s="1172">
        <v>0</v>
      </c>
      <c r="N30" s="1172">
        <v>0</v>
      </c>
      <c r="O30" s="1173">
        <v>8828.42</v>
      </c>
    </row>
    <row r="31" spans="1:15" ht="24.75" customHeight="1">
      <c r="A31" s="1170" t="s">
        <v>261</v>
      </c>
      <c r="B31" s="1171" t="s">
        <v>2110</v>
      </c>
      <c r="C31" s="1171" t="s">
        <v>2127</v>
      </c>
      <c r="D31" s="1172">
        <v>36200</v>
      </c>
      <c r="E31" s="1172">
        <v>36200</v>
      </c>
      <c r="F31" s="1172">
        <v>36200</v>
      </c>
      <c r="G31" s="1172">
        <v>36004.94</v>
      </c>
      <c r="H31" s="1172">
        <v>195.06</v>
      </c>
      <c r="I31" s="1172">
        <v>0</v>
      </c>
      <c r="J31" s="1172">
        <v>195.06</v>
      </c>
      <c r="K31" s="1172">
        <v>0</v>
      </c>
      <c r="L31" s="1172">
        <v>0</v>
      </c>
      <c r="M31" s="1172">
        <v>0</v>
      </c>
      <c r="N31" s="1172">
        <v>0</v>
      </c>
      <c r="O31" s="1173">
        <v>195.06</v>
      </c>
    </row>
    <row r="32" spans="1:15" ht="24.75" customHeight="1">
      <c r="A32" s="1170" t="s">
        <v>2128</v>
      </c>
      <c r="B32" s="1171" t="s">
        <v>2110</v>
      </c>
      <c r="C32" s="1171" t="s">
        <v>2129</v>
      </c>
      <c r="D32" s="1172">
        <v>1513597</v>
      </c>
      <c r="E32" s="1172">
        <v>1273469</v>
      </c>
      <c r="F32" s="1172">
        <v>1570042</v>
      </c>
      <c r="G32" s="1172">
        <v>1462621.44</v>
      </c>
      <c r="H32" s="1172">
        <v>107420.56</v>
      </c>
      <c r="I32" s="1172">
        <v>0</v>
      </c>
      <c r="J32" s="1172">
        <v>107420.56</v>
      </c>
      <c r="K32" s="1172">
        <v>0</v>
      </c>
      <c r="L32" s="1172">
        <v>0</v>
      </c>
      <c r="M32" s="1172">
        <v>0</v>
      </c>
      <c r="N32" s="1172">
        <v>0</v>
      </c>
      <c r="O32" s="1173">
        <v>107420.56</v>
      </c>
    </row>
    <row r="33" spans="1:15" ht="24.75" customHeight="1">
      <c r="A33" s="1170" t="s">
        <v>2130</v>
      </c>
      <c r="B33" s="1171" t="s">
        <v>2110</v>
      </c>
      <c r="C33" s="1171" t="s">
        <v>2131</v>
      </c>
      <c r="D33" s="1172">
        <v>0</v>
      </c>
      <c r="E33" s="1172">
        <v>21000</v>
      </c>
      <c r="F33" s="1172">
        <v>21000</v>
      </c>
      <c r="G33" s="1172">
        <v>20987.4</v>
      </c>
      <c r="H33" s="1172">
        <v>12.6</v>
      </c>
      <c r="I33" s="1172">
        <v>0</v>
      </c>
      <c r="J33" s="1172">
        <v>12.6</v>
      </c>
      <c r="K33" s="1172">
        <v>0</v>
      </c>
      <c r="L33" s="1172">
        <v>0</v>
      </c>
      <c r="M33" s="1172">
        <v>0</v>
      </c>
      <c r="N33" s="1172">
        <v>0</v>
      </c>
      <c r="O33" s="1173">
        <v>12.6</v>
      </c>
    </row>
    <row r="34" spans="1:15" ht="24.75" customHeight="1">
      <c r="A34" s="1170" t="s">
        <v>2132</v>
      </c>
      <c r="B34" s="1171" t="s">
        <v>2133</v>
      </c>
      <c r="C34" s="1171" t="s">
        <v>2134</v>
      </c>
      <c r="D34" s="1172">
        <v>0</v>
      </c>
      <c r="E34" s="1172">
        <v>91222</v>
      </c>
      <c r="F34" s="1172">
        <v>91222</v>
      </c>
      <c r="G34" s="1172">
        <v>63819.1</v>
      </c>
      <c r="H34" s="1172">
        <v>27402.91</v>
      </c>
      <c r="I34" s="1172">
        <v>0</v>
      </c>
      <c r="J34" s="1172">
        <v>27402.91</v>
      </c>
      <c r="K34" s="1172">
        <v>0</v>
      </c>
      <c r="L34" s="1172">
        <v>0</v>
      </c>
      <c r="M34" s="1172">
        <v>0</v>
      </c>
      <c r="N34" s="1172">
        <v>0</v>
      </c>
      <c r="O34" s="1173">
        <v>27402.91</v>
      </c>
    </row>
    <row r="35" spans="1:15" ht="24.75" customHeight="1">
      <c r="A35" s="1170" t="s">
        <v>2135</v>
      </c>
      <c r="B35" s="1171" t="s">
        <v>2133</v>
      </c>
      <c r="C35" s="1171" t="s">
        <v>2136</v>
      </c>
      <c r="D35" s="1172">
        <v>0</v>
      </c>
      <c r="E35" s="1172">
        <v>682753</v>
      </c>
      <c r="F35" s="1172">
        <v>685261.93</v>
      </c>
      <c r="G35" s="1172">
        <v>383235.51</v>
      </c>
      <c r="H35" s="1172">
        <v>302026.42</v>
      </c>
      <c r="I35" s="1172">
        <v>0</v>
      </c>
      <c r="J35" s="1172">
        <v>302026.42</v>
      </c>
      <c r="K35" s="1172">
        <v>0</v>
      </c>
      <c r="L35" s="1172">
        <v>0</v>
      </c>
      <c r="M35" s="1172">
        <v>0</v>
      </c>
      <c r="N35" s="1172">
        <v>0</v>
      </c>
      <c r="O35" s="1173">
        <v>302026.42</v>
      </c>
    </row>
    <row r="36" spans="1:15" ht="24.75" customHeight="1">
      <c r="A36" s="1170" t="s">
        <v>2137</v>
      </c>
      <c r="B36" s="1171" t="s">
        <v>2133</v>
      </c>
      <c r="C36" s="1171" t="s">
        <v>2138</v>
      </c>
      <c r="D36" s="1172">
        <v>0</v>
      </c>
      <c r="E36" s="1172">
        <v>13914</v>
      </c>
      <c r="F36" s="1172">
        <v>13914</v>
      </c>
      <c r="G36" s="1172">
        <v>13360.92</v>
      </c>
      <c r="H36" s="1172">
        <v>553.08</v>
      </c>
      <c r="I36" s="1172">
        <v>0</v>
      </c>
      <c r="J36" s="1172">
        <v>553.08</v>
      </c>
      <c r="K36" s="1172">
        <v>0</v>
      </c>
      <c r="L36" s="1172">
        <v>0</v>
      </c>
      <c r="M36" s="1172">
        <v>0</v>
      </c>
      <c r="N36" s="1172">
        <v>0</v>
      </c>
      <c r="O36" s="1173">
        <v>553.08</v>
      </c>
    </row>
    <row r="37" spans="1:15" ht="24.75" customHeight="1">
      <c r="A37" s="1170" t="s">
        <v>2139</v>
      </c>
      <c r="B37" s="1171" t="s">
        <v>2133</v>
      </c>
      <c r="C37" s="1171" t="s">
        <v>2140</v>
      </c>
      <c r="D37" s="1172">
        <v>0</v>
      </c>
      <c r="E37" s="1172">
        <v>38998</v>
      </c>
      <c r="F37" s="1172">
        <v>38998</v>
      </c>
      <c r="G37" s="1172">
        <v>25505.56</v>
      </c>
      <c r="H37" s="1172">
        <v>13492.44</v>
      </c>
      <c r="I37" s="1172">
        <v>0</v>
      </c>
      <c r="J37" s="1172">
        <v>13492.44</v>
      </c>
      <c r="K37" s="1172">
        <v>0</v>
      </c>
      <c r="L37" s="1172">
        <v>0</v>
      </c>
      <c r="M37" s="1172">
        <v>0</v>
      </c>
      <c r="N37" s="1172">
        <v>0</v>
      </c>
      <c r="O37" s="1173">
        <v>13492.44</v>
      </c>
    </row>
    <row r="38" spans="1:15" ht="24.75" customHeight="1">
      <c r="A38" s="1170" t="s">
        <v>2141</v>
      </c>
      <c r="B38" s="1171" t="s">
        <v>2133</v>
      </c>
      <c r="C38" s="1171" t="s">
        <v>2142</v>
      </c>
      <c r="D38" s="1172">
        <v>0</v>
      </c>
      <c r="E38" s="1172">
        <v>3541</v>
      </c>
      <c r="F38" s="1172">
        <v>3541</v>
      </c>
      <c r="G38" s="1172">
        <v>3540.93</v>
      </c>
      <c r="H38" s="1172">
        <v>0.07</v>
      </c>
      <c r="I38" s="1172">
        <v>0</v>
      </c>
      <c r="J38" s="1172">
        <v>0.07</v>
      </c>
      <c r="K38" s="1172">
        <v>0</v>
      </c>
      <c r="L38" s="1172">
        <v>0</v>
      </c>
      <c r="M38" s="1172">
        <v>0</v>
      </c>
      <c r="N38" s="1172">
        <v>0</v>
      </c>
      <c r="O38" s="1173">
        <v>0.07</v>
      </c>
    </row>
    <row r="39" spans="1:15" ht="24.75" customHeight="1">
      <c r="A39" s="1170" t="s">
        <v>2143</v>
      </c>
      <c r="B39" s="1171" t="s">
        <v>2133</v>
      </c>
      <c r="C39" s="1171" t="s">
        <v>2144</v>
      </c>
      <c r="D39" s="1172">
        <v>0</v>
      </c>
      <c r="E39" s="1172">
        <v>4477</v>
      </c>
      <c r="F39" s="1172">
        <v>4477</v>
      </c>
      <c r="G39" s="1172">
        <v>4477</v>
      </c>
      <c r="H39" s="1172">
        <v>0</v>
      </c>
      <c r="I39" s="1172">
        <v>0</v>
      </c>
      <c r="J39" s="1172">
        <v>0</v>
      </c>
      <c r="K39" s="1172">
        <v>0</v>
      </c>
      <c r="L39" s="1172">
        <v>0</v>
      </c>
      <c r="M39" s="1172">
        <v>0</v>
      </c>
      <c r="N39" s="1172">
        <v>0</v>
      </c>
      <c r="O39" s="1173">
        <v>0</v>
      </c>
    </row>
    <row r="40" spans="1:15" ht="24.75" customHeight="1">
      <c r="A40" s="1170" t="s">
        <v>2145</v>
      </c>
      <c r="B40" s="1171" t="s">
        <v>2133</v>
      </c>
      <c r="C40" s="1171" t="s">
        <v>2146</v>
      </c>
      <c r="D40" s="1172">
        <v>0</v>
      </c>
      <c r="E40" s="1172">
        <v>9285</v>
      </c>
      <c r="F40" s="1172">
        <v>9285</v>
      </c>
      <c r="G40" s="1172">
        <v>9285</v>
      </c>
      <c r="H40" s="1172">
        <v>0</v>
      </c>
      <c r="I40" s="1172">
        <v>0</v>
      </c>
      <c r="J40" s="1172">
        <v>0</v>
      </c>
      <c r="K40" s="1172">
        <v>0</v>
      </c>
      <c r="L40" s="1172">
        <v>0</v>
      </c>
      <c r="M40" s="1172">
        <v>0</v>
      </c>
      <c r="N40" s="1172">
        <v>0</v>
      </c>
      <c r="O40" s="1173">
        <v>0</v>
      </c>
    </row>
    <row r="41" spans="1:15" ht="24.75" customHeight="1">
      <c r="A41" s="1170" t="s">
        <v>2147</v>
      </c>
      <c r="B41" s="1171" t="s">
        <v>2133</v>
      </c>
      <c r="C41" s="1171" t="s">
        <v>2148</v>
      </c>
      <c r="D41" s="1172">
        <v>0</v>
      </c>
      <c r="E41" s="1172">
        <v>41714</v>
      </c>
      <c r="F41" s="1172">
        <v>41714</v>
      </c>
      <c r="G41" s="1172">
        <v>32068.98</v>
      </c>
      <c r="H41" s="1172">
        <v>9645.02</v>
      </c>
      <c r="I41" s="1172">
        <v>0</v>
      </c>
      <c r="J41" s="1172">
        <v>9645.02</v>
      </c>
      <c r="K41" s="1172">
        <v>0</v>
      </c>
      <c r="L41" s="1172">
        <v>0</v>
      </c>
      <c r="M41" s="1172">
        <v>0</v>
      </c>
      <c r="N41" s="1172">
        <v>0</v>
      </c>
      <c r="O41" s="1173">
        <v>9645.02</v>
      </c>
    </row>
    <row r="42" spans="1:15" ht="24.75" customHeight="1">
      <c r="A42" s="1170" t="s">
        <v>2149</v>
      </c>
      <c r="B42" s="1171" t="s">
        <v>2133</v>
      </c>
      <c r="C42" s="1171" t="s">
        <v>2150</v>
      </c>
      <c r="D42" s="1172">
        <v>0</v>
      </c>
      <c r="E42" s="1172">
        <v>4044</v>
      </c>
      <c r="F42" s="1172">
        <v>4044</v>
      </c>
      <c r="G42" s="1172">
        <v>4029.54</v>
      </c>
      <c r="H42" s="1172">
        <v>14.46</v>
      </c>
      <c r="I42" s="1172">
        <v>0</v>
      </c>
      <c r="J42" s="1172">
        <v>14.46</v>
      </c>
      <c r="K42" s="1172">
        <v>0</v>
      </c>
      <c r="L42" s="1172">
        <v>0</v>
      </c>
      <c r="M42" s="1172">
        <v>0</v>
      </c>
      <c r="N42" s="1172">
        <v>0</v>
      </c>
      <c r="O42" s="1173">
        <v>14.46</v>
      </c>
    </row>
    <row r="43" spans="1:15" ht="24.75" customHeight="1">
      <c r="A43" s="1170" t="s">
        <v>2151</v>
      </c>
      <c r="B43" s="1171" t="s">
        <v>2133</v>
      </c>
      <c r="C43" s="1171" t="s">
        <v>2152</v>
      </c>
      <c r="D43" s="1172">
        <v>0</v>
      </c>
      <c r="E43" s="1172">
        <v>4148</v>
      </c>
      <c r="F43" s="1172">
        <v>4148</v>
      </c>
      <c r="G43" s="1172">
        <v>4147.15</v>
      </c>
      <c r="H43" s="1172">
        <v>0.85</v>
      </c>
      <c r="I43" s="1172">
        <v>0</v>
      </c>
      <c r="J43" s="1172">
        <v>0.85</v>
      </c>
      <c r="K43" s="1172">
        <v>0</v>
      </c>
      <c r="L43" s="1172">
        <v>0</v>
      </c>
      <c r="M43" s="1172">
        <v>0</v>
      </c>
      <c r="N43" s="1172">
        <v>0</v>
      </c>
      <c r="O43" s="1173">
        <v>0.85</v>
      </c>
    </row>
    <row r="44" spans="1:15" ht="24.75" customHeight="1">
      <c r="A44" s="1170" t="s">
        <v>2153</v>
      </c>
      <c r="B44" s="1171" t="s">
        <v>2133</v>
      </c>
      <c r="C44" s="1171" t="s">
        <v>2154</v>
      </c>
      <c r="D44" s="1172">
        <v>0</v>
      </c>
      <c r="E44" s="1172">
        <v>8600</v>
      </c>
      <c r="F44" s="1172">
        <v>8600</v>
      </c>
      <c r="G44" s="1172">
        <v>8599.99</v>
      </c>
      <c r="H44" s="1172">
        <v>0.01</v>
      </c>
      <c r="I44" s="1172">
        <v>0</v>
      </c>
      <c r="J44" s="1172">
        <v>0.01</v>
      </c>
      <c r="K44" s="1172">
        <v>0</v>
      </c>
      <c r="L44" s="1172">
        <v>0</v>
      </c>
      <c r="M44" s="1172">
        <v>0</v>
      </c>
      <c r="N44" s="1172">
        <v>0</v>
      </c>
      <c r="O44" s="1173">
        <v>0.01</v>
      </c>
    </row>
    <row r="45" spans="1:15" ht="24.75" customHeight="1" thickBot="1">
      <c r="A45" s="1174" t="s">
        <v>2155</v>
      </c>
      <c r="B45" s="1175" t="s">
        <v>2133</v>
      </c>
      <c r="C45" s="1175" t="s">
        <v>2156</v>
      </c>
      <c r="D45" s="1176">
        <v>0</v>
      </c>
      <c r="E45" s="1176">
        <v>3870</v>
      </c>
      <c r="F45" s="1176">
        <v>3870</v>
      </c>
      <c r="G45" s="1176">
        <v>3870</v>
      </c>
      <c r="H45" s="1176">
        <v>0</v>
      </c>
      <c r="I45" s="1176">
        <v>0</v>
      </c>
      <c r="J45" s="1176">
        <v>0</v>
      </c>
      <c r="K45" s="1176">
        <v>0</v>
      </c>
      <c r="L45" s="1176">
        <v>0</v>
      </c>
      <c r="M45" s="1176">
        <v>0</v>
      </c>
      <c r="N45" s="1176">
        <v>0</v>
      </c>
      <c r="O45" s="1177">
        <v>0</v>
      </c>
    </row>
    <row r="47" spans="1:3" s="618" customFormat="1" ht="12.75">
      <c r="A47" s="1331"/>
      <c r="B47" s="1328"/>
      <c r="C47" s="1328"/>
    </row>
    <row r="48" spans="1:3" s="618" customFormat="1" ht="12.75">
      <c r="A48" s="1328"/>
      <c r="B48" s="1328"/>
      <c r="C48" s="1328"/>
    </row>
    <row r="49" s="618" customFormat="1" ht="12.75"/>
    <row r="50" spans="1:3" s="618" customFormat="1" ht="12.75">
      <c r="A50" s="1328" t="s">
        <v>2157</v>
      </c>
      <c r="B50" s="1328"/>
      <c r="C50" s="1328"/>
    </row>
    <row r="51" spans="1:4" s="618" customFormat="1" ht="15">
      <c r="A51" s="1329"/>
      <c r="B51" s="1329"/>
      <c r="C51" s="1329"/>
      <c r="D51" s="1328"/>
    </row>
    <row r="52" spans="1:5" s="618" customFormat="1" ht="15">
      <c r="A52" s="1329"/>
      <c r="B52" s="1329"/>
      <c r="C52" s="1329"/>
      <c r="D52" s="1328"/>
      <c r="E52" s="1328"/>
    </row>
    <row r="53" spans="1:5" s="618" customFormat="1" ht="15">
      <c r="A53" s="1329"/>
      <c r="B53" s="1329"/>
      <c r="C53" s="1329"/>
      <c r="D53" s="1328"/>
      <c r="E53" s="1328"/>
    </row>
    <row r="54" spans="1:3" s="618" customFormat="1" ht="15">
      <c r="A54" s="1178"/>
      <c r="B54" s="1178"/>
      <c r="C54" s="1178"/>
    </row>
    <row r="55" spans="1:3" s="618" customFormat="1" ht="15">
      <c r="A55" s="1329"/>
      <c r="B55" s="1329"/>
      <c r="C55" s="1329"/>
    </row>
    <row r="56" spans="1:3" s="618" customFormat="1" ht="15">
      <c r="A56" s="1329"/>
      <c r="B56" s="1329"/>
      <c r="C56" s="1329"/>
    </row>
    <row r="57" spans="1:5" s="618" customFormat="1" ht="15">
      <c r="A57" s="1329"/>
      <c r="B57" s="1329"/>
      <c r="C57" s="1329"/>
      <c r="D57" s="1328"/>
      <c r="E57" s="1328"/>
    </row>
    <row r="58" spans="1:5" s="618" customFormat="1" ht="15">
      <c r="A58" s="1329"/>
      <c r="B58" s="1329"/>
      <c r="C58" s="1329"/>
      <c r="D58" s="1328"/>
      <c r="E58" s="1328"/>
    </row>
    <row r="59" spans="1:3" s="618" customFormat="1" ht="15">
      <c r="A59" s="1178"/>
      <c r="B59" s="1178"/>
      <c r="C59" s="1178"/>
    </row>
    <row r="60" s="618" customFormat="1" ht="12.75"/>
    <row r="61" spans="1:5" ht="12.75">
      <c r="A61" s="618"/>
      <c r="B61" s="618"/>
      <c r="C61" s="618"/>
      <c r="D61" s="618"/>
      <c r="E61" s="618"/>
    </row>
  </sheetData>
  <mergeCells count="12">
    <mergeCell ref="M1:O1"/>
    <mergeCell ref="A3:O3"/>
    <mergeCell ref="A47:C47"/>
    <mergeCell ref="A48:C48"/>
    <mergeCell ref="A50:C50"/>
    <mergeCell ref="A56:C56"/>
    <mergeCell ref="A57:E57"/>
    <mergeCell ref="A58:E58"/>
    <mergeCell ref="A51:D51"/>
    <mergeCell ref="A52:E52"/>
    <mergeCell ref="A53:E53"/>
    <mergeCell ref="A55:C55"/>
  </mergeCells>
  <printOptions horizontalCentered="1"/>
  <pageMargins left="0.7874015748031497" right="0.7874015748031497" top="0.984251968503937" bottom="0.984251968503937" header="0.9055118110236221" footer="0.5118110236220472"/>
  <pageSetup fitToHeight="2" horizontalDpi="600" verticalDpi="600" orientation="landscape" paperSize="9" scale="60" r:id="rId1"/>
  <headerFooter alignWithMargins="0">
    <oddHeader>&amp;R&amp;"Arial CE,Tučné"&amp;12Tabulka č. 19/II&amp;"Arial CE,Obyčejné"&amp;10
&amp;12List č.&amp;P/&amp;N</oddHeader>
    <oddFooter>&amp;C&amp;14&amp;P+185&amp;10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zoomScale="75" zoomScaleNormal="75" workbookViewId="0" topLeftCell="A28">
      <selection activeCell="I48" sqref="I48"/>
    </sheetView>
  </sheetViews>
  <sheetFormatPr defaultColWidth="9.00390625" defaultRowHeight="12.75"/>
  <cols>
    <col min="1" max="1" width="4.75390625" style="1" customWidth="1"/>
    <col min="2" max="2" width="4.25390625" style="9" customWidth="1"/>
    <col min="3" max="3" width="10.00390625" style="9" customWidth="1"/>
    <col min="4" max="4" width="8.125" style="9" customWidth="1"/>
    <col min="5" max="5" width="10.625" style="9" customWidth="1"/>
    <col min="6" max="6" width="9.25390625" style="9" customWidth="1"/>
    <col min="7" max="7" width="4.00390625" style="9" customWidth="1"/>
    <col min="8" max="8" width="7.125" style="9" customWidth="1"/>
    <col min="9" max="9" width="5.75390625" style="9" customWidth="1"/>
    <col min="10" max="10" width="13.25390625" style="0" customWidth="1"/>
    <col min="11" max="11" width="13.875" style="9" customWidth="1"/>
    <col min="12" max="12" width="6.75390625" style="5" customWidth="1"/>
    <col min="13" max="13" width="12.75390625" style="9" customWidth="1"/>
    <col min="14" max="14" width="13.125" style="9" customWidth="1"/>
    <col min="15" max="15" width="6.875" style="9" customWidth="1"/>
    <col min="16" max="16" width="5.625" style="9" customWidth="1"/>
    <col min="17" max="17" width="8.25390625" style="9" customWidth="1"/>
    <col min="18" max="18" width="11.125" style="9" customWidth="1"/>
    <col min="19" max="19" width="9.125" style="9" customWidth="1"/>
    <col min="20" max="20" width="6.625" style="9" customWidth="1"/>
    <col min="21" max="24" width="8.75390625" style="9" customWidth="1"/>
    <col min="25" max="25" width="3.625" style="9" customWidth="1"/>
    <col min="26" max="16384" width="9.125" style="9" customWidth="1"/>
  </cols>
  <sheetData>
    <row r="1" spans="1:25" s="722" customFormat="1" ht="26.25" customHeight="1">
      <c r="A1" s="717"/>
      <c r="B1" s="718" t="s">
        <v>1501</v>
      </c>
      <c r="C1" s="719"/>
      <c r="D1" s="720"/>
      <c r="E1" s="719"/>
      <c r="F1" s="719"/>
      <c r="G1" s="719"/>
      <c r="H1" s="719"/>
      <c r="I1" s="719"/>
      <c r="J1" s="720"/>
      <c r="K1" s="719"/>
      <c r="L1" s="721"/>
      <c r="M1" s="719"/>
      <c r="N1" s="719"/>
      <c r="O1" s="719"/>
      <c r="P1" s="719"/>
      <c r="Q1" s="719"/>
      <c r="R1" s="719"/>
      <c r="S1" s="719"/>
      <c r="T1" s="719"/>
      <c r="U1" s="719"/>
      <c r="V1" s="719"/>
      <c r="W1" s="719"/>
      <c r="X1" s="719"/>
      <c r="Y1" s="719"/>
    </row>
    <row r="2" spans="1:25" s="722" customFormat="1" ht="24" customHeight="1">
      <c r="A2" s="717"/>
      <c r="B2" s="718" t="s">
        <v>633</v>
      </c>
      <c r="C2" s="719"/>
      <c r="D2" s="720"/>
      <c r="E2" s="719"/>
      <c r="F2" s="719"/>
      <c r="G2" s="719"/>
      <c r="H2" s="719"/>
      <c r="I2" s="719"/>
      <c r="J2" s="720"/>
      <c r="K2" s="719"/>
      <c r="L2" s="721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</row>
    <row r="3" spans="1:25" s="722" customFormat="1" ht="24" customHeight="1">
      <c r="A3" s="717"/>
      <c r="B3" s="723"/>
      <c r="C3" s="719"/>
      <c r="D3" s="720"/>
      <c r="E3" s="719"/>
      <c r="F3" s="719"/>
      <c r="G3" s="719"/>
      <c r="H3" s="719"/>
      <c r="I3" s="719"/>
      <c r="J3" s="720"/>
      <c r="K3" s="719"/>
      <c r="L3" s="721"/>
      <c r="M3" s="719"/>
      <c r="N3" s="719"/>
      <c r="O3" s="719"/>
      <c r="P3" s="724"/>
      <c r="Q3" s="719"/>
      <c r="R3" s="719"/>
      <c r="S3" s="719"/>
      <c r="T3" s="719"/>
      <c r="U3" s="719"/>
      <c r="V3" s="719"/>
      <c r="W3" s="719"/>
      <c r="X3" s="719"/>
      <c r="Y3" s="719"/>
    </row>
    <row r="4" spans="1:23" s="2" customFormat="1" ht="9.75" customHeight="1" thickBot="1">
      <c r="A4" s="1"/>
      <c r="D4" s="3"/>
      <c r="E4" s="4"/>
      <c r="F4" s="4"/>
      <c r="G4" s="4"/>
      <c r="H4" s="4"/>
      <c r="I4" s="4"/>
      <c r="J4"/>
      <c r="K4" s="4"/>
      <c r="L4" s="5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6" customFormat="1" ht="28.5" customHeight="1" hidden="1">
      <c r="A5" s="1"/>
      <c r="D5" s="7"/>
      <c r="E5" s="8"/>
      <c r="F5" s="8"/>
      <c r="G5" s="8"/>
      <c r="H5" s="8"/>
      <c r="I5" s="8"/>
      <c r="J5"/>
      <c r="K5" s="8"/>
      <c r="L5" s="5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7:21" ht="25.5" customHeight="1">
      <c r="G6"/>
      <c r="H6"/>
      <c r="I6"/>
      <c r="K6" s="725" t="s">
        <v>1502</v>
      </c>
      <c r="L6" s="10"/>
      <c r="M6" s="10"/>
      <c r="N6" s="10"/>
      <c r="O6" s="10"/>
      <c r="P6" s="10"/>
      <c r="Q6" s="11"/>
      <c r="R6"/>
      <c r="S6"/>
      <c r="T6"/>
      <c r="U6"/>
    </row>
    <row r="7" spans="7:21" ht="26.25" customHeight="1" thickBot="1">
      <c r="G7"/>
      <c r="H7"/>
      <c r="I7"/>
      <c r="K7" s="726" t="s">
        <v>1503</v>
      </c>
      <c r="L7" s="12"/>
      <c r="M7" s="12"/>
      <c r="N7" s="12"/>
      <c r="O7" s="12"/>
      <c r="P7" s="12"/>
      <c r="Q7" s="13"/>
      <c r="R7"/>
      <c r="S7"/>
      <c r="T7"/>
      <c r="U7"/>
    </row>
    <row r="8" spans="4:22" ht="15.75" customHeight="1" thickBot="1">
      <c r="D8" s="14"/>
      <c r="E8" s="15"/>
      <c r="F8" s="15"/>
      <c r="G8" s="15"/>
      <c r="H8" s="15"/>
      <c r="I8" s="15"/>
      <c r="J8" s="15"/>
      <c r="K8" s="16"/>
      <c r="L8" s="15"/>
      <c r="M8" s="17"/>
      <c r="N8" s="18"/>
      <c r="O8" s="18"/>
      <c r="P8" s="18"/>
      <c r="Q8" s="18"/>
      <c r="R8" s="15"/>
      <c r="S8" s="18"/>
      <c r="T8" s="15"/>
      <c r="U8" s="15"/>
      <c r="V8" s="18"/>
    </row>
    <row r="9" spans="1:22" ht="17.25" customHeight="1" thickBot="1">
      <c r="A9" s="19"/>
      <c r="B9" s="20"/>
      <c r="C9" s="21"/>
      <c r="D9" s="22"/>
      <c r="E9" s="23"/>
      <c r="F9" s="23"/>
      <c r="G9" s="23"/>
      <c r="H9" s="23"/>
      <c r="I9" s="23"/>
      <c r="J9" s="24"/>
      <c r="K9" s="23"/>
      <c r="L9" s="20"/>
      <c r="M9" s="24"/>
      <c r="N9" s="23"/>
      <c r="O9" s="25"/>
      <c r="P9" s="25"/>
      <c r="Q9" s="26"/>
      <c r="R9" s="25"/>
      <c r="S9"/>
      <c r="T9"/>
      <c r="U9"/>
      <c r="V9" s="27"/>
    </row>
    <row r="10" spans="1:24" s="32" customFormat="1" ht="26.25" customHeight="1">
      <c r="A10" s="19"/>
      <c r="B10" s="20"/>
      <c r="C10" s="727" t="s">
        <v>1504</v>
      </c>
      <c r="D10" s="728"/>
      <c r="E10" s="728"/>
      <c r="F10" s="729"/>
      <c r="G10" s="28" t="s">
        <v>1505</v>
      </c>
      <c r="H10" s="29"/>
      <c r="I10" s="29"/>
      <c r="J10" s="736" t="s">
        <v>1506</v>
      </c>
      <c r="K10" s="737"/>
      <c r="L10" s="20"/>
      <c r="M10" s="740" t="s">
        <v>1506</v>
      </c>
      <c r="N10" s="741"/>
      <c r="O10"/>
      <c r="P10" s="744" t="s">
        <v>1507</v>
      </c>
      <c r="Q10" s="745"/>
      <c r="R10" s="745"/>
      <c r="S10" s="746"/>
      <c r="T10" s="30"/>
      <c r="U10" s="31" t="s">
        <v>1508</v>
      </c>
      <c r="V10" s="750"/>
      <c r="W10" s="750"/>
      <c r="X10" s="751"/>
    </row>
    <row r="11" spans="1:24" ht="21" customHeight="1" thickBot="1">
      <c r="A11" s="19"/>
      <c r="B11" s="33"/>
      <c r="C11" s="730" t="s">
        <v>1509</v>
      </c>
      <c r="D11" s="34"/>
      <c r="E11" s="34"/>
      <c r="F11" s="35"/>
      <c r="G11" s="36"/>
      <c r="H11" s="29"/>
      <c r="I11" s="29"/>
      <c r="J11" s="738" t="s">
        <v>1510</v>
      </c>
      <c r="K11" s="739"/>
      <c r="L11" s="20"/>
      <c r="M11" s="742" t="s">
        <v>1511</v>
      </c>
      <c r="N11" s="743"/>
      <c r="O11"/>
      <c r="P11" s="747" t="s">
        <v>1512</v>
      </c>
      <c r="Q11" s="748"/>
      <c r="R11" s="748"/>
      <c r="S11" s="749"/>
      <c r="T11"/>
      <c r="U11" s="752" t="s">
        <v>1513</v>
      </c>
      <c r="V11" s="753"/>
      <c r="W11" s="753"/>
      <c r="X11" s="754"/>
    </row>
    <row r="12" spans="1:25" ht="35.25" customHeight="1" thickBot="1">
      <c r="A12" s="37"/>
      <c r="B12" s="38" t="s">
        <v>1514</v>
      </c>
      <c r="C12" s="39"/>
      <c r="D12" s="40"/>
      <c r="E12" s="39"/>
      <c r="F12" s="39"/>
      <c r="G12" s="41"/>
      <c r="H12" s="42" t="s">
        <v>1515</v>
      </c>
      <c r="I12" s="42"/>
      <c r="J12" s="43"/>
      <c r="K12" s="44"/>
      <c r="L12" s="20"/>
      <c r="M12" s="45"/>
      <c r="N12" s="20"/>
      <c r="O12"/>
      <c r="P12"/>
      <c r="Q12" s="27"/>
      <c r="R12"/>
      <c r="S12"/>
      <c r="T12"/>
      <c r="U12"/>
      <c r="V12" s="27"/>
      <c r="W12"/>
      <c r="X12"/>
      <c r="Y12"/>
    </row>
    <row r="13" spans="1:25" ht="50.25" customHeight="1" thickBot="1">
      <c r="A13" s="37" t="s">
        <v>1516</v>
      </c>
      <c r="B13" s="46"/>
      <c r="C13" s="1332"/>
      <c r="D13" s="1333"/>
      <c r="E13" s="1333"/>
      <c r="F13" s="1334"/>
      <c r="G13" s="47"/>
      <c r="H13" s="42"/>
      <c r="I13" s="29"/>
      <c r="J13" s="48" t="s">
        <v>1482</v>
      </c>
      <c r="K13" s="49"/>
      <c r="L13" s="20"/>
      <c r="M13" s="50" t="s">
        <v>1517</v>
      </c>
      <c r="N13" s="51"/>
      <c r="O13"/>
      <c r="P13"/>
      <c r="Q13" s="27"/>
      <c r="R13"/>
      <c r="S13"/>
      <c r="T13"/>
      <c r="U13"/>
      <c r="V13" s="27"/>
      <c r="W13"/>
      <c r="X13"/>
      <c r="Y13"/>
    </row>
    <row r="14" spans="1:25" ht="18.75" customHeight="1" thickBot="1">
      <c r="A14" s="37"/>
      <c r="B14" s="46"/>
      <c r="C14" s="731" t="s">
        <v>831</v>
      </c>
      <c r="D14" s="144"/>
      <c r="E14" s="53"/>
      <c r="F14" s="54"/>
      <c r="G14" s="47"/>
      <c r="H14" s="29"/>
      <c r="I14" s="29"/>
      <c r="J14" s="43"/>
      <c r="K14" s="44"/>
      <c r="L14" s="20"/>
      <c r="M14" s="45"/>
      <c r="N14" s="20"/>
      <c r="O14"/>
      <c r="P14" s="55" t="s">
        <v>1485</v>
      </c>
      <c r="Q14" s="56"/>
      <c r="R14" s="56"/>
      <c r="S14" s="57"/>
      <c r="T14" s="30"/>
      <c r="U14" s="30"/>
      <c r="V14" s="58"/>
      <c r="W14" s="30"/>
      <c r="X14" s="30"/>
      <c r="Y14" s="30"/>
    </row>
    <row r="15" spans="1:25" ht="36" customHeight="1" thickBot="1">
      <c r="A15" s="37" t="s">
        <v>1519</v>
      </c>
      <c r="B15" s="46"/>
      <c r="C15" s="59" t="s">
        <v>1483</v>
      </c>
      <c r="D15" s="60"/>
      <c r="E15" s="60"/>
      <c r="F15" s="61"/>
      <c r="G15" s="47"/>
      <c r="H15" s="20"/>
      <c r="I15" s="20"/>
      <c r="J15" s="48" t="s">
        <v>1520</v>
      </c>
      <c r="K15" s="49"/>
      <c r="L15" s="20"/>
      <c r="M15" s="50" t="s">
        <v>1521</v>
      </c>
      <c r="N15" s="51"/>
      <c r="O15"/>
      <c r="P15" s="62"/>
      <c r="Q15" s="63"/>
      <c r="R15" s="62"/>
      <c r="S15" s="62"/>
      <c r="T15" s="30"/>
      <c r="U15" s="30"/>
      <c r="V15" s="58"/>
      <c r="W15" s="30"/>
      <c r="X15" s="30"/>
      <c r="Y15" s="30"/>
    </row>
    <row r="16" spans="1:25" ht="17.25" customHeight="1" thickBot="1">
      <c r="A16" s="37"/>
      <c r="B16" s="46"/>
      <c r="C16" s="64"/>
      <c r="D16" s="65"/>
      <c r="E16" s="64"/>
      <c r="F16" s="64"/>
      <c r="G16" s="47"/>
      <c r="H16" s="20"/>
      <c r="I16" s="20"/>
      <c r="J16" s="43"/>
      <c r="K16" s="44"/>
      <c r="L16" s="20"/>
      <c r="M16" s="45"/>
      <c r="N16" s="20"/>
      <c r="O16"/>
      <c r="P16" s="66" t="s">
        <v>1538</v>
      </c>
      <c r="Q16" s="67"/>
      <c r="R16" s="67"/>
      <c r="S16" s="68"/>
      <c r="T16" s="30"/>
      <c r="U16" s="30"/>
      <c r="V16" s="58"/>
      <c r="W16" s="30"/>
      <c r="X16" s="30"/>
      <c r="Y16" s="30"/>
    </row>
    <row r="17" spans="1:25" ht="33.75" customHeight="1" thickBot="1">
      <c r="A17" s="19" t="s">
        <v>1488</v>
      </c>
      <c r="B17" s="46"/>
      <c r="C17" s="69"/>
      <c r="D17" s="70"/>
      <c r="E17" s="71"/>
      <c r="F17" s="71"/>
      <c r="G17" s="47"/>
      <c r="H17" s="20"/>
      <c r="I17" s="20"/>
      <c r="J17" s="1335" t="s">
        <v>1489</v>
      </c>
      <c r="K17" s="1336"/>
      <c r="L17" s="20"/>
      <c r="M17" s="50" t="s">
        <v>1490</v>
      </c>
      <c r="N17" s="51"/>
      <c r="O17"/>
      <c r="P17" s="72"/>
      <c r="Q17" s="73"/>
      <c r="R17" s="72"/>
      <c r="S17" s="72"/>
      <c r="T17" s="30"/>
      <c r="U17" s="30"/>
      <c r="V17" s="58"/>
      <c r="W17" s="30"/>
      <c r="X17" s="30"/>
      <c r="Y17" s="30"/>
    </row>
    <row r="18" spans="1:25" ht="15.75" customHeight="1" thickBot="1">
      <c r="A18" s="37"/>
      <c r="B18" s="46"/>
      <c r="C18" s="732" t="s">
        <v>1491</v>
      </c>
      <c r="D18" s="74"/>
      <c r="E18" s="74"/>
      <c r="F18" s="75"/>
      <c r="G18" s="47"/>
      <c r="H18" s="29"/>
      <c r="I18" s="29"/>
      <c r="J18" s="43"/>
      <c r="K18" s="44"/>
      <c r="L18" s="20"/>
      <c r="M18" s="45"/>
      <c r="N18" s="20"/>
      <c r="O18"/>
      <c r="P18" s="66" t="s">
        <v>1539</v>
      </c>
      <c r="Q18" s="67"/>
      <c r="R18" s="67"/>
      <c r="S18" s="68"/>
      <c r="T18" s="30"/>
      <c r="U18" s="30"/>
      <c r="V18" s="58"/>
      <c r="W18" s="30"/>
      <c r="X18" s="30"/>
      <c r="Y18" s="30"/>
    </row>
    <row r="19" spans="1:25" ht="33" customHeight="1" thickBot="1">
      <c r="A19" s="37" t="s">
        <v>1519</v>
      </c>
      <c r="B19" s="46"/>
      <c r="C19" s="52" t="s">
        <v>1518</v>
      </c>
      <c r="D19" s="53"/>
      <c r="E19" s="53"/>
      <c r="F19" s="54"/>
      <c r="G19" s="47"/>
      <c r="H19" s="29"/>
      <c r="I19" s="29"/>
      <c r="J19" s="48" t="s">
        <v>1492</v>
      </c>
      <c r="K19" s="49"/>
      <c r="L19" s="20"/>
      <c r="M19" s="50" t="s">
        <v>1452</v>
      </c>
      <c r="N19" s="51"/>
      <c r="O19"/>
      <c r="P19" s="62"/>
      <c r="Q19" s="63"/>
      <c r="R19" s="62"/>
      <c r="S19" s="62"/>
      <c r="T19" s="30"/>
      <c r="U19" s="30"/>
      <c r="V19" s="58"/>
      <c r="W19" s="30"/>
      <c r="X19" s="30"/>
      <c r="Y19" s="30"/>
    </row>
    <row r="20" spans="1:25" ht="19.5" customHeight="1" thickBot="1">
      <c r="A20" s="37"/>
      <c r="B20" s="46"/>
      <c r="C20" s="59" t="s">
        <v>1453</v>
      </c>
      <c r="D20" s="76"/>
      <c r="E20" s="76"/>
      <c r="F20" s="77"/>
      <c r="G20" s="47"/>
      <c r="H20" s="29"/>
      <c r="I20" s="29"/>
      <c r="J20" s="43"/>
      <c r="K20" s="44"/>
      <c r="L20" s="20"/>
      <c r="M20" s="45"/>
      <c r="N20" s="20"/>
      <c r="O20"/>
      <c r="P20" s="66" t="s">
        <v>1540</v>
      </c>
      <c r="Q20" s="67"/>
      <c r="R20" s="67"/>
      <c r="S20" s="68"/>
      <c r="T20" s="30"/>
      <c r="U20" s="30"/>
      <c r="V20" s="58"/>
      <c r="W20" s="30"/>
      <c r="X20" s="30"/>
      <c r="Y20" s="30"/>
    </row>
    <row r="21" spans="1:25" ht="33.75" customHeight="1" thickBot="1">
      <c r="A21" s="37" t="s">
        <v>1454</v>
      </c>
      <c r="B21" s="46"/>
      <c r="C21" s="78"/>
      <c r="D21" s="79"/>
      <c r="E21" s="78"/>
      <c r="F21" s="78"/>
      <c r="G21" s="80"/>
      <c r="H21" s="81"/>
      <c r="I21" s="81"/>
      <c r="J21" s="48" t="s">
        <v>1455</v>
      </c>
      <c r="K21" s="49"/>
      <c r="L21" s="20"/>
      <c r="M21" s="50" t="s">
        <v>688</v>
      </c>
      <c r="N21" s="51"/>
      <c r="O21"/>
      <c r="P21" s="72"/>
      <c r="Q21" s="73"/>
      <c r="R21" s="72"/>
      <c r="S21" s="72"/>
      <c r="T21" s="30"/>
      <c r="U21" s="30"/>
      <c r="V21" s="58"/>
      <c r="W21" s="30"/>
      <c r="X21" s="30"/>
      <c r="Y21" s="30"/>
    </row>
    <row r="22" spans="1:25" ht="15.75" customHeight="1" thickBot="1">
      <c r="A22" s="37"/>
      <c r="B22" s="46"/>
      <c r="C22" s="82"/>
      <c r="D22" s="83"/>
      <c r="E22" s="82"/>
      <c r="F22" s="82"/>
      <c r="G22" s="80"/>
      <c r="H22" s="84"/>
      <c r="I22" s="20"/>
      <c r="J22" s="43"/>
      <c r="K22" s="44"/>
      <c r="L22" s="20"/>
      <c r="M22" s="45"/>
      <c r="N22" s="20"/>
      <c r="O22"/>
      <c r="P22" s="66" t="s">
        <v>1486</v>
      </c>
      <c r="Q22" s="67"/>
      <c r="R22" s="67"/>
      <c r="S22" s="68"/>
      <c r="T22" s="30"/>
      <c r="U22" s="30"/>
      <c r="V22" s="58"/>
      <c r="W22" s="30"/>
      <c r="X22" s="30"/>
      <c r="Y22" s="30"/>
    </row>
    <row r="23" spans="1:25" ht="33" customHeight="1" thickBot="1">
      <c r="A23" s="37" t="s">
        <v>689</v>
      </c>
      <c r="B23" s="85"/>
      <c r="C23" s="86" t="s">
        <v>690</v>
      </c>
      <c r="D23" s="87"/>
      <c r="E23" s="88"/>
      <c r="F23" s="89"/>
      <c r="G23" s="90"/>
      <c r="H23" s="91"/>
      <c r="I23" s="20"/>
      <c r="J23" s="48" t="s">
        <v>691</v>
      </c>
      <c r="K23" s="49"/>
      <c r="L23" s="20"/>
      <c r="M23" s="50" t="s">
        <v>692</v>
      </c>
      <c r="N23" s="51"/>
      <c r="O23"/>
      <c r="P23" s="92"/>
      <c r="Q23" s="63"/>
      <c r="R23" s="92"/>
      <c r="S23" s="92"/>
      <c r="T23" s="30"/>
      <c r="U23" s="30"/>
      <c r="V23" s="58"/>
      <c r="W23" s="30"/>
      <c r="X23" s="30"/>
      <c r="Y23" s="30"/>
    </row>
    <row r="24" spans="1:25" ht="15" customHeight="1" thickBot="1">
      <c r="A24" s="37"/>
      <c r="B24" s="85"/>
      <c r="C24" s="93"/>
      <c r="D24" s="94"/>
      <c r="E24" s="95"/>
      <c r="F24" s="96"/>
      <c r="G24" s="90"/>
      <c r="H24" s="97"/>
      <c r="I24" s="20"/>
      <c r="J24" s="44"/>
      <c r="K24" s="44"/>
      <c r="L24" s="20"/>
      <c r="M24" s="45"/>
      <c r="N24" s="20"/>
      <c r="O24"/>
      <c r="P24" s="146" t="s">
        <v>1542</v>
      </c>
      <c r="Q24" s="67"/>
      <c r="R24" s="67"/>
      <c r="S24" s="68"/>
      <c r="T24" s="30"/>
      <c r="U24" s="30"/>
      <c r="V24" s="58"/>
      <c r="W24" s="30"/>
      <c r="X24" s="30"/>
      <c r="Y24" s="30"/>
    </row>
    <row r="25" spans="1:25" ht="33.75" customHeight="1" thickBot="1">
      <c r="A25" s="37"/>
      <c r="B25" s="85"/>
      <c r="C25" s="98" t="s">
        <v>693</v>
      </c>
      <c r="D25" s="87"/>
      <c r="E25" s="88"/>
      <c r="F25" s="89"/>
      <c r="G25" s="90"/>
      <c r="H25" s="97"/>
      <c r="I25" s="20"/>
      <c r="J25" s="48" t="s">
        <v>694</v>
      </c>
      <c r="K25" s="49"/>
      <c r="L25" s="20"/>
      <c r="M25" s="50" t="s">
        <v>695</v>
      </c>
      <c r="N25" s="51"/>
      <c r="O25"/>
      <c r="P25" s="99"/>
      <c r="Q25" s="100"/>
      <c r="R25" s="99"/>
      <c r="S25" s="99"/>
      <c r="T25" s="30"/>
      <c r="U25" s="30"/>
      <c r="V25" s="58"/>
      <c r="W25" s="30"/>
      <c r="X25" s="30"/>
      <c r="Y25" s="101"/>
    </row>
    <row r="26" spans="1:25" ht="17.25" customHeight="1" thickBot="1">
      <c r="A26" s="37"/>
      <c r="B26" s="85"/>
      <c r="C26" s="102"/>
      <c r="D26" s="94"/>
      <c r="E26" s="95"/>
      <c r="F26" s="95"/>
      <c r="G26" s="90"/>
      <c r="H26" s="733" t="s">
        <v>1516</v>
      </c>
      <c r="I26" s="20"/>
      <c r="J26" s="44"/>
      <c r="K26" s="44"/>
      <c r="L26" s="20"/>
      <c r="M26" s="45"/>
      <c r="N26" s="20"/>
      <c r="O26"/>
      <c r="P26" s="103" t="s">
        <v>696</v>
      </c>
      <c r="Q26" s="104"/>
      <c r="R26" s="104"/>
      <c r="S26" s="105"/>
      <c r="T26" s="30"/>
      <c r="U26" s="106" t="s">
        <v>697</v>
      </c>
      <c r="V26" s="107"/>
      <c r="W26" s="107"/>
      <c r="X26" s="108"/>
      <c r="Y26" s="109" t="s">
        <v>698</v>
      </c>
    </row>
    <row r="27" spans="1:25" ht="20.25" customHeight="1" thickBot="1">
      <c r="A27" s="37" t="s">
        <v>1516</v>
      </c>
      <c r="B27" s="85"/>
      <c r="C27" s="98" t="s">
        <v>699</v>
      </c>
      <c r="D27" s="87"/>
      <c r="E27" s="88"/>
      <c r="F27" s="89"/>
      <c r="G27" s="90"/>
      <c r="H27" s="734" t="s">
        <v>700</v>
      </c>
      <c r="I27" s="20"/>
      <c r="J27" s="48" t="s">
        <v>701</v>
      </c>
      <c r="K27" s="49"/>
      <c r="L27" s="20"/>
      <c r="M27" s="50" t="s">
        <v>702</v>
      </c>
      <c r="N27" s="51"/>
      <c r="O27"/>
      <c r="P27" s="99"/>
      <c r="Q27" s="100"/>
      <c r="R27" s="99"/>
      <c r="S27" s="99"/>
      <c r="T27" s="30"/>
      <c r="U27" s="110"/>
      <c r="V27" s="100"/>
      <c r="W27" s="99"/>
      <c r="X27" s="99"/>
      <c r="Y27" s="109"/>
    </row>
    <row r="28" spans="1:25" ht="17.25" customHeight="1" thickBot="1">
      <c r="A28" s="37"/>
      <c r="B28" s="85"/>
      <c r="C28" s="102"/>
      <c r="D28" s="94"/>
      <c r="E28" s="95"/>
      <c r="F28" s="95"/>
      <c r="G28" s="90"/>
      <c r="H28" s="733" t="s">
        <v>703</v>
      </c>
      <c r="I28" s="20"/>
      <c r="J28" s="20"/>
      <c r="K28" s="20"/>
      <c r="L28" s="20"/>
      <c r="M28" s="45"/>
      <c r="N28" s="20"/>
      <c r="O28"/>
      <c r="P28" s="145" t="s">
        <v>1541</v>
      </c>
      <c r="Q28" s="111"/>
      <c r="R28" s="111"/>
      <c r="S28" s="112"/>
      <c r="T28" s="30"/>
      <c r="U28" s="106" t="s">
        <v>1474</v>
      </c>
      <c r="V28" s="107"/>
      <c r="W28" s="107"/>
      <c r="X28" s="108"/>
      <c r="Y28" s="109" t="s">
        <v>698</v>
      </c>
    </row>
    <row r="29" spans="1:25" ht="24.75" customHeight="1" thickBot="1">
      <c r="A29" s="37" t="s">
        <v>1475</v>
      </c>
      <c r="B29" s="85"/>
      <c r="C29" s="98" t="s">
        <v>1476</v>
      </c>
      <c r="D29" s="113"/>
      <c r="E29" s="88"/>
      <c r="F29" s="114"/>
      <c r="G29" s="90"/>
      <c r="H29" s="733" t="s">
        <v>1477</v>
      </c>
      <c r="I29" s="20"/>
      <c r="J29" s="20"/>
      <c r="K29" s="20"/>
      <c r="L29" s="20"/>
      <c r="M29" s="115" t="s">
        <v>1478</v>
      </c>
      <c r="N29" s="51"/>
      <c r="O29"/>
      <c r="P29" s="116"/>
      <c r="Q29" s="117"/>
      <c r="R29" s="116"/>
      <c r="S29" s="116"/>
      <c r="T29" s="30"/>
      <c r="U29" s="118"/>
      <c r="V29" s="100"/>
      <c r="W29" s="99"/>
      <c r="X29" s="99"/>
      <c r="Y29" s="109"/>
    </row>
    <row r="30" spans="1:25" ht="16.5" customHeight="1" thickBot="1">
      <c r="A30" s="37"/>
      <c r="B30" s="85"/>
      <c r="C30" s="102"/>
      <c r="D30" s="94"/>
      <c r="E30" s="95"/>
      <c r="F30" s="95"/>
      <c r="G30" s="90"/>
      <c r="H30" s="733" t="s">
        <v>1479</v>
      </c>
      <c r="I30" s="20"/>
      <c r="J30" s="20"/>
      <c r="K30" s="20"/>
      <c r="L30" s="20"/>
      <c r="M30" s="45"/>
      <c r="N30" s="20"/>
      <c r="O30"/>
      <c r="P30" s="119" t="s">
        <v>1480</v>
      </c>
      <c r="Q30" s="111"/>
      <c r="R30" s="111"/>
      <c r="S30" s="112"/>
      <c r="T30" s="30"/>
      <c r="U30" s="106" t="s">
        <v>1493</v>
      </c>
      <c r="V30" s="107"/>
      <c r="W30" s="107"/>
      <c r="X30" s="108"/>
      <c r="Y30" s="109" t="s">
        <v>698</v>
      </c>
    </row>
    <row r="31" spans="1:25" ht="22.5" customHeight="1" thickBot="1">
      <c r="A31" s="37" t="s">
        <v>1494</v>
      </c>
      <c r="B31" s="85"/>
      <c r="C31" s="98" t="s">
        <v>1495</v>
      </c>
      <c r="D31" s="87"/>
      <c r="E31" s="88"/>
      <c r="F31" s="89"/>
      <c r="G31" s="90"/>
      <c r="H31" s="733" t="s">
        <v>1496</v>
      </c>
      <c r="I31" s="20"/>
      <c r="J31" s="20"/>
      <c r="K31" s="20"/>
      <c r="L31" s="20"/>
      <c r="M31" s="115" t="s">
        <v>1497</v>
      </c>
      <c r="N31" s="51"/>
      <c r="O31"/>
      <c r="P31" s="116"/>
      <c r="Q31" s="117"/>
      <c r="R31" s="116"/>
      <c r="S31" s="116"/>
      <c r="T31" s="30"/>
      <c r="U31" s="110"/>
      <c r="V31" s="100"/>
      <c r="W31" s="99"/>
      <c r="X31" s="99"/>
      <c r="Y31" s="109"/>
    </row>
    <row r="32" spans="1:25" ht="17.25" customHeight="1" thickBot="1">
      <c r="A32" s="37"/>
      <c r="B32" s="85"/>
      <c r="C32" s="102"/>
      <c r="D32" s="94"/>
      <c r="E32" s="95"/>
      <c r="F32" s="95"/>
      <c r="G32" s="90"/>
      <c r="H32" s="733"/>
      <c r="I32" s="20"/>
      <c r="J32" s="20"/>
      <c r="K32" s="20"/>
      <c r="L32" s="20"/>
      <c r="M32" s="120"/>
      <c r="N32" s="20"/>
      <c r="O32"/>
      <c r="P32" s="121" t="s">
        <v>1498</v>
      </c>
      <c r="Q32" s="111"/>
      <c r="R32" s="111"/>
      <c r="S32" s="112"/>
      <c r="T32" s="30"/>
      <c r="U32" s="106" t="s">
        <v>1499</v>
      </c>
      <c r="V32" s="107"/>
      <c r="W32" s="107"/>
      <c r="X32" s="108"/>
      <c r="Y32" s="109" t="s">
        <v>698</v>
      </c>
    </row>
    <row r="33" spans="1:25" ht="24.75" customHeight="1" thickBot="1">
      <c r="A33" s="37" t="s">
        <v>1488</v>
      </c>
      <c r="B33" s="85"/>
      <c r="C33" s="98" t="s">
        <v>1500</v>
      </c>
      <c r="D33" s="87"/>
      <c r="E33" s="88"/>
      <c r="F33" s="89"/>
      <c r="G33" s="90"/>
      <c r="H33" s="733" t="s">
        <v>1475</v>
      </c>
      <c r="I33" s="20"/>
      <c r="J33" s="20"/>
      <c r="K33" s="20"/>
      <c r="L33" s="20"/>
      <c r="M33" s="115" t="s">
        <v>1522</v>
      </c>
      <c r="N33" s="51"/>
      <c r="O33"/>
      <c r="P33"/>
      <c r="Q33"/>
      <c r="R33"/>
      <c r="S33"/>
      <c r="T33"/>
      <c r="U33" s="122"/>
      <c r="V33" s="27"/>
      <c r="W33"/>
      <c r="X33"/>
      <c r="Y33"/>
    </row>
    <row r="34" spans="1:25" ht="19.5" customHeight="1" thickBot="1">
      <c r="A34" s="37"/>
      <c r="B34" s="85"/>
      <c r="C34" s="102"/>
      <c r="D34" s="94"/>
      <c r="E34" s="95"/>
      <c r="F34" s="95"/>
      <c r="G34" s="90"/>
      <c r="H34" s="733" t="s">
        <v>703</v>
      </c>
      <c r="I34" s="20"/>
      <c r="J34" s="20"/>
      <c r="K34" s="20"/>
      <c r="L34" s="20"/>
      <c r="M34" s="120"/>
      <c r="N34" s="20"/>
      <c r="O34"/>
      <c r="P34"/>
      <c r="Q34"/>
      <c r="R34"/>
      <c r="S34"/>
      <c r="T34"/>
      <c r="U34" s="106" t="s">
        <v>1523</v>
      </c>
      <c r="V34" s="107"/>
      <c r="W34" s="107"/>
      <c r="X34" s="108"/>
      <c r="Y34" s="109" t="s">
        <v>698</v>
      </c>
    </row>
    <row r="35" spans="1:26" ht="24.75" customHeight="1" thickBot="1">
      <c r="A35" s="37" t="s">
        <v>1524</v>
      </c>
      <c r="B35" s="85"/>
      <c r="C35" s="98" t="s">
        <v>1525</v>
      </c>
      <c r="D35" s="87"/>
      <c r="E35" s="88"/>
      <c r="F35" s="89"/>
      <c r="G35" s="90"/>
      <c r="H35" s="733" t="s">
        <v>700</v>
      </c>
      <c r="I35" s="20"/>
      <c r="J35" s="20"/>
      <c r="K35" s="20"/>
      <c r="L35" s="20"/>
      <c r="M35" s="115" t="s">
        <v>1526</v>
      </c>
      <c r="N35" s="51"/>
      <c r="P35"/>
      <c r="Q35"/>
      <c r="R35"/>
      <c r="S35"/>
      <c r="T35"/>
      <c r="U35" s="123"/>
      <c r="V35"/>
      <c r="W35"/>
      <c r="X35"/>
      <c r="Y35"/>
      <c r="Z35"/>
    </row>
    <row r="36" spans="1:26" ht="16.5" customHeight="1" thickBot="1">
      <c r="A36" s="37"/>
      <c r="B36" s="85"/>
      <c r="C36" s="102"/>
      <c r="D36" s="94"/>
      <c r="E36" s="95"/>
      <c r="F36" s="95"/>
      <c r="G36" s="90"/>
      <c r="H36" s="733" t="s">
        <v>1527</v>
      </c>
      <c r="I36" s="20"/>
      <c r="J36" s="20"/>
      <c r="K36" s="20"/>
      <c r="L36" s="20"/>
      <c r="M36" s="120"/>
      <c r="N36" s="20"/>
      <c r="U36"/>
      <c r="V36"/>
      <c r="W36"/>
      <c r="X36"/>
      <c r="Y36"/>
      <c r="Z36"/>
    </row>
    <row r="37" spans="1:26" ht="24.75" customHeight="1" thickBot="1">
      <c r="A37" s="37" t="s">
        <v>1528</v>
      </c>
      <c r="B37" s="85"/>
      <c r="C37" s="98" t="s">
        <v>1529</v>
      </c>
      <c r="D37" s="87"/>
      <c r="E37" s="88"/>
      <c r="F37" s="89"/>
      <c r="G37" s="90"/>
      <c r="H37" s="733" t="s">
        <v>1530</v>
      </c>
      <c r="I37" s="20"/>
      <c r="J37" s="20"/>
      <c r="K37" s="20"/>
      <c r="L37" s="20"/>
      <c r="M37" s="115" t="s">
        <v>1531</v>
      </c>
      <c r="N37" s="51"/>
      <c r="O37"/>
      <c r="P37"/>
      <c r="U37"/>
      <c r="V37"/>
      <c r="W37"/>
      <c r="X37"/>
      <c r="Y37"/>
      <c r="Z37"/>
    </row>
    <row r="38" spans="1:26" ht="15" customHeight="1" thickBot="1">
      <c r="A38" s="37"/>
      <c r="B38" s="85"/>
      <c r="C38" s="102"/>
      <c r="D38" s="94"/>
      <c r="E38" s="95"/>
      <c r="F38" s="95"/>
      <c r="G38" s="90"/>
      <c r="H38" s="733" t="s">
        <v>1527</v>
      </c>
      <c r="I38" s="20"/>
      <c r="J38" s="20"/>
      <c r="K38" s="20"/>
      <c r="L38" s="20"/>
      <c r="M38" s="120"/>
      <c r="N38" s="20"/>
      <c r="O38"/>
      <c r="P38"/>
      <c r="U38"/>
      <c r="V38"/>
      <c r="W38"/>
      <c r="X38"/>
      <c r="Y38"/>
      <c r="Z38"/>
    </row>
    <row r="39" spans="1:26" ht="27" customHeight="1" thickBot="1">
      <c r="A39" s="37"/>
      <c r="B39" s="85"/>
      <c r="C39" s="98" t="s">
        <v>1532</v>
      </c>
      <c r="D39" s="87"/>
      <c r="E39" s="88"/>
      <c r="F39" s="89"/>
      <c r="G39" s="90"/>
      <c r="H39" s="733" t="s">
        <v>1533</v>
      </c>
      <c r="I39" s="20"/>
      <c r="J39" s="20"/>
      <c r="K39" s="20"/>
      <c r="L39" s="20"/>
      <c r="M39" s="115" t="s">
        <v>1534</v>
      </c>
      <c r="N39" s="51"/>
      <c r="O39"/>
      <c r="P39"/>
      <c r="R39"/>
      <c r="S39"/>
      <c r="T39"/>
      <c r="U39"/>
      <c r="V39"/>
      <c r="W39"/>
      <c r="X39"/>
      <c r="Y39"/>
      <c r="Z39"/>
    </row>
    <row r="40" spans="1:26" ht="17.25" customHeight="1" thickBot="1">
      <c r="A40" s="37"/>
      <c r="B40" s="85"/>
      <c r="C40" s="93"/>
      <c r="D40" s="94"/>
      <c r="E40" s="95"/>
      <c r="F40" s="95"/>
      <c r="G40" s="124"/>
      <c r="H40" s="733"/>
      <c r="I40" s="20"/>
      <c r="J40" s="20"/>
      <c r="K40" s="20"/>
      <c r="L40" s="20"/>
      <c r="M40" s="125"/>
      <c r="N40" s="20"/>
      <c r="O40"/>
      <c r="P40"/>
      <c r="R40"/>
      <c r="S40"/>
      <c r="T40"/>
      <c r="U40"/>
      <c r="V40"/>
      <c r="W40"/>
      <c r="X40"/>
      <c r="Y40"/>
      <c r="Z40"/>
    </row>
    <row r="41" spans="1:26" ht="17.25" customHeight="1" thickBot="1">
      <c r="A41" s="37"/>
      <c r="B41" s="126"/>
      <c r="C41" s="127" t="s">
        <v>1535</v>
      </c>
      <c r="D41" s="87"/>
      <c r="E41" s="88"/>
      <c r="F41" s="89"/>
      <c r="G41" s="128"/>
      <c r="H41" s="735"/>
      <c r="I41" s="20"/>
      <c r="J41" s="20"/>
      <c r="K41" s="20"/>
      <c r="L41" s="20"/>
      <c r="M41" s="125"/>
      <c r="N41" s="20"/>
      <c r="O41"/>
      <c r="P41"/>
      <c r="R41"/>
      <c r="S41"/>
      <c r="T41"/>
      <c r="U41"/>
      <c r="V41"/>
      <c r="W41"/>
      <c r="X41"/>
      <c r="Y41"/>
      <c r="Z41"/>
    </row>
    <row r="42" spans="1:26" ht="14.25" customHeight="1">
      <c r="A42" s="37"/>
      <c r="B42" s="20"/>
      <c r="C42" s="20"/>
      <c r="D42" s="129"/>
      <c r="E42" s="130"/>
      <c r="F42" s="130"/>
      <c r="G42" s="130"/>
      <c r="H42" s="130"/>
      <c r="I42" s="20"/>
      <c r="J42" s="20"/>
      <c r="K42" s="20"/>
      <c r="L42" s="20"/>
      <c r="M42" s="130"/>
      <c r="N42" s="130"/>
      <c r="O42" s="131"/>
      <c r="P42" s="131"/>
      <c r="Q42" s="131"/>
      <c r="R42" s="131"/>
      <c r="U42"/>
      <c r="V42"/>
      <c r="W42"/>
      <c r="X42"/>
      <c r="Y42"/>
      <c r="Z42"/>
    </row>
    <row r="43" spans="2:26" ht="15" customHeight="1">
      <c r="B43" s="132" t="s">
        <v>1536</v>
      </c>
      <c r="C43"/>
      <c r="D43"/>
      <c r="E43"/>
      <c r="F43" s="133"/>
      <c r="G43" s="134"/>
      <c r="H43" s="134"/>
      <c r="I43" s="134"/>
      <c r="K43"/>
      <c r="L43"/>
      <c r="M43" s="131"/>
      <c r="N43" s="131"/>
      <c r="O43" s="131"/>
      <c r="P43" s="131"/>
      <c r="Q43" s="131"/>
      <c r="R43"/>
      <c r="U43" s="135"/>
      <c r="V43"/>
      <c r="W43"/>
      <c r="X43"/>
      <c r="Y43"/>
      <c r="Z43"/>
    </row>
    <row r="44" spans="2:26" ht="18" customHeight="1">
      <c r="B44" s="136" t="s">
        <v>1537</v>
      </c>
      <c r="C44"/>
      <c r="D44"/>
      <c r="E44" s="131"/>
      <c r="F44" s="131"/>
      <c r="G44" s="131"/>
      <c r="H44" s="131"/>
      <c r="I44" s="136" t="s">
        <v>1481</v>
      </c>
      <c r="K44"/>
      <c r="L44"/>
      <c r="M44" s="136" t="s">
        <v>1487</v>
      </c>
      <c r="N44" s="131"/>
      <c r="O44" s="131"/>
      <c r="R44" s="131"/>
      <c r="W44"/>
      <c r="X44"/>
      <c r="Y44"/>
      <c r="Z44"/>
    </row>
    <row r="45" spans="1:26" ht="15.75" customHeight="1">
      <c r="A45" s="137"/>
      <c r="C45"/>
      <c r="D45"/>
      <c r="E45" s="131"/>
      <c r="F45" s="131"/>
      <c r="G45" s="131"/>
      <c r="H45" s="131"/>
      <c r="I45" s="136"/>
      <c r="K45" s="136"/>
      <c r="L45" s="138"/>
      <c r="M45" s="131"/>
      <c r="N45" s="131"/>
      <c r="O45" s="131"/>
      <c r="P45" s="131" t="s">
        <v>1484</v>
      </c>
      <c r="Q45" s="131"/>
      <c r="R45" s="131"/>
      <c r="W45"/>
      <c r="X45"/>
      <c r="Y45"/>
      <c r="Z45"/>
    </row>
    <row r="46" spans="2:26" ht="23.25">
      <c r="B46"/>
      <c r="C46"/>
      <c r="D46"/>
      <c r="E46" s="131"/>
      <c r="F46" s="131"/>
      <c r="G46" s="131"/>
      <c r="H46" s="131"/>
      <c r="I46" s="131"/>
      <c r="K46" s="131"/>
      <c r="L46" s="138"/>
      <c r="M46" s="131"/>
      <c r="N46" s="131"/>
      <c r="O46" s="131"/>
      <c r="P46" s="131"/>
      <c r="Q46" s="131"/>
      <c r="R46" s="131"/>
      <c r="U46"/>
      <c r="V46"/>
      <c r="W46"/>
      <c r="X46"/>
      <c r="Y46"/>
      <c r="Z46"/>
    </row>
  </sheetData>
  <mergeCells count="2">
    <mergeCell ref="C13:F13"/>
    <mergeCell ref="J17:K17"/>
  </mergeCells>
  <printOptions horizontalCentered="1"/>
  <pageMargins left="0.1968503937007874" right="0.1968503937007874" top="0.7874015748031497" bottom="0" header="0.7086614173228347" footer="0"/>
  <pageSetup fitToHeight="1" fitToWidth="1" horizontalDpi="600" verticalDpi="600" orientation="landscape" paperSize="9" scale="53" r:id="rId1"/>
  <headerFooter alignWithMargins="0">
    <oddFooter>&amp;C&amp;14
&amp;P+187&amp;12
&amp;14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zoomScale="85" zoomScaleNormal="85" workbookViewId="0" topLeftCell="A10">
      <selection activeCell="F18" sqref="F18"/>
    </sheetView>
  </sheetViews>
  <sheetFormatPr defaultColWidth="9.00390625" defaultRowHeight="12.75"/>
  <cols>
    <col min="1" max="1" width="26.375" style="0" customWidth="1"/>
    <col min="2" max="4" width="11.75390625" style="0" customWidth="1"/>
    <col min="5" max="5" width="10.875" style="0" customWidth="1"/>
    <col min="6" max="8" width="11.75390625" style="0" customWidth="1"/>
    <col min="9" max="9" width="10.875" style="0" customWidth="1"/>
    <col min="10" max="12" width="11.75390625" style="0" customWidth="1"/>
    <col min="13" max="13" width="10.875" style="0" customWidth="1"/>
    <col min="14" max="15" width="11.75390625" style="0" customWidth="1"/>
    <col min="16" max="16" width="13.25390625" style="0" customWidth="1"/>
    <col min="17" max="17" width="12.625" style="0" customWidth="1"/>
    <col min="18" max="18" width="14.625" style="0" customWidth="1"/>
  </cols>
  <sheetData>
    <row r="1" spans="1:18" s="995" customFormat="1" ht="20.25" customHeight="1">
      <c r="A1" s="995" t="s">
        <v>1543</v>
      </c>
      <c r="Q1" s="1189" t="s">
        <v>1758</v>
      </c>
      <c r="R1" s="1189"/>
    </row>
    <row r="2" s="927" customFormat="1" ht="20.25" customHeight="1">
      <c r="S2" s="928"/>
    </row>
    <row r="3" spans="1:18" s="997" customFormat="1" ht="21.75" customHeight="1">
      <c r="A3" s="1195" t="s">
        <v>1759</v>
      </c>
      <c r="B3" s="1195"/>
      <c r="C3" s="1195"/>
      <c r="D3" s="1195"/>
      <c r="E3" s="1195"/>
      <c r="F3" s="1195"/>
      <c r="G3" s="1195"/>
      <c r="H3" s="1195"/>
      <c r="I3" s="1195"/>
      <c r="J3" s="1195"/>
      <c r="K3" s="1195"/>
      <c r="L3" s="1195"/>
      <c r="M3" s="1195"/>
      <c r="N3" s="1195"/>
      <c r="O3" s="1195"/>
      <c r="P3" s="1195"/>
      <c r="Q3" s="1195"/>
      <c r="R3" s="1195"/>
    </row>
    <row r="4" spans="1:15" ht="12.75">
      <c r="A4" s="929"/>
      <c r="B4" s="929"/>
      <c r="C4" s="929"/>
      <c r="D4" s="14"/>
      <c r="G4" s="929"/>
      <c r="K4" s="929"/>
      <c r="O4" s="929"/>
    </row>
    <row r="5" spans="1:18" ht="13.5" thickBot="1">
      <c r="A5" s="14"/>
      <c r="B5" s="14"/>
      <c r="C5" s="929"/>
      <c r="G5" s="929"/>
      <c r="K5" s="929"/>
      <c r="O5" s="929"/>
      <c r="R5" s="998" t="s">
        <v>1545</v>
      </c>
    </row>
    <row r="6" spans="1:18" s="581" customFormat="1" ht="41.25" customHeight="1" thickTop="1">
      <c r="A6" s="999"/>
      <c r="B6" s="1190" t="s">
        <v>1735</v>
      </c>
      <c r="C6" s="1185"/>
      <c r="D6" s="1185"/>
      <c r="E6" s="1204"/>
      <c r="F6" s="1193" t="s">
        <v>1763</v>
      </c>
      <c r="G6" s="1194"/>
      <c r="H6" s="1194"/>
      <c r="I6" s="1186"/>
      <c r="J6" s="1193" t="s">
        <v>1764</v>
      </c>
      <c r="K6" s="1187"/>
      <c r="L6" s="1187"/>
      <c r="M6" s="1188"/>
      <c r="N6" s="1190" t="s">
        <v>1736</v>
      </c>
      <c r="O6" s="1185"/>
      <c r="P6" s="1185"/>
      <c r="Q6" s="1185"/>
      <c r="R6" s="1205"/>
    </row>
    <row r="7" spans="1:18" s="581" customFormat="1" ht="19.5" customHeight="1">
      <c r="A7" s="1000" t="s">
        <v>1591</v>
      </c>
      <c r="B7" s="1001" t="s">
        <v>1555</v>
      </c>
      <c r="C7" s="1002" t="s">
        <v>1556</v>
      </c>
      <c r="D7" s="1003" t="s">
        <v>1737</v>
      </c>
      <c r="E7" s="1004" t="s">
        <v>1738</v>
      </c>
      <c r="F7" s="1005" t="s">
        <v>1555</v>
      </c>
      <c r="G7" s="1002" t="s">
        <v>1556</v>
      </c>
      <c r="H7" s="1002" t="s">
        <v>1737</v>
      </c>
      <c r="I7" s="1006" t="s">
        <v>1738</v>
      </c>
      <c r="J7" s="1001" t="s">
        <v>1555</v>
      </c>
      <c r="K7" s="1002" t="s">
        <v>1556</v>
      </c>
      <c r="L7" s="1004" t="s">
        <v>1737</v>
      </c>
      <c r="M7" s="1006" t="s">
        <v>1738</v>
      </c>
      <c r="N7" s="1007" t="s">
        <v>1555</v>
      </c>
      <c r="O7" s="1002" t="s">
        <v>1556</v>
      </c>
      <c r="P7" s="1002" t="s">
        <v>1737</v>
      </c>
      <c r="Q7" s="1003" t="s">
        <v>1738</v>
      </c>
      <c r="R7" s="1191" t="s">
        <v>1739</v>
      </c>
    </row>
    <row r="8" spans="1:18" ht="19.5" customHeight="1" thickBot="1">
      <c r="A8" s="1008"/>
      <c r="B8" s="1009"/>
      <c r="C8" s="945" t="s">
        <v>2074</v>
      </c>
      <c r="D8" s="945" t="s">
        <v>1740</v>
      </c>
      <c r="E8" s="946" t="s">
        <v>1741</v>
      </c>
      <c r="F8" s="948"/>
      <c r="G8" s="945" t="s">
        <v>2074</v>
      </c>
      <c r="H8" s="945" t="s">
        <v>1740</v>
      </c>
      <c r="I8" s="946" t="s">
        <v>1741</v>
      </c>
      <c r="J8" s="948"/>
      <c r="K8" s="945" t="s">
        <v>2074</v>
      </c>
      <c r="L8" s="946" t="s">
        <v>1740</v>
      </c>
      <c r="M8" s="946" t="s">
        <v>1741</v>
      </c>
      <c r="N8" s="948"/>
      <c r="O8" s="945" t="s">
        <v>2074</v>
      </c>
      <c r="P8" s="945" t="s">
        <v>1740</v>
      </c>
      <c r="Q8" s="945" t="s">
        <v>1741</v>
      </c>
      <c r="R8" s="1192"/>
    </row>
    <row r="9" spans="1:18" ht="23.25" customHeight="1">
      <c r="A9" s="1010" t="s">
        <v>1760</v>
      </c>
      <c r="B9" s="1011">
        <v>130713</v>
      </c>
      <c r="C9" s="958">
        <v>133473</v>
      </c>
      <c r="D9" s="953">
        <v>133711</v>
      </c>
      <c r="E9" s="954">
        <f>C9-D9</f>
        <v>-238</v>
      </c>
      <c r="F9" s="977">
        <v>0</v>
      </c>
      <c r="G9" s="958">
        <v>0</v>
      </c>
      <c r="H9" s="953">
        <v>0</v>
      </c>
      <c r="I9" s="954">
        <f>G9-H9</f>
        <v>0</v>
      </c>
      <c r="J9" s="977">
        <v>341</v>
      </c>
      <c r="K9" s="958">
        <v>341</v>
      </c>
      <c r="L9" s="982">
        <v>4036</v>
      </c>
      <c r="M9" s="957">
        <f>K9-L9</f>
        <v>-3695</v>
      </c>
      <c r="N9" s="977">
        <f>B9+J9</f>
        <v>131054</v>
      </c>
      <c r="O9" s="958">
        <f>C9+K9</f>
        <v>133814</v>
      </c>
      <c r="P9" s="958">
        <f>D9+L9</f>
        <v>137747</v>
      </c>
      <c r="Q9" s="953">
        <f>O9-P9</f>
        <v>-3933</v>
      </c>
      <c r="R9" s="959">
        <f>P9*100/O9</f>
        <v>102.9391543485734</v>
      </c>
    </row>
    <row r="10" spans="1:18" ht="23.25" customHeight="1">
      <c r="A10" s="1010" t="s">
        <v>663</v>
      </c>
      <c r="B10" s="1011">
        <v>144716</v>
      </c>
      <c r="C10" s="958">
        <v>146693</v>
      </c>
      <c r="D10" s="953">
        <v>146449</v>
      </c>
      <c r="E10" s="954">
        <f aca="true" t="shared" si="0" ref="E10:E22">C10-D10</f>
        <v>244</v>
      </c>
      <c r="F10" s="977">
        <v>0</v>
      </c>
      <c r="G10" s="958">
        <v>0</v>
      </c>
      <c r="H10" s="953">
        <v>0</v>
      </c>
      <c r="I10" s="954">
        <f aca="true" t="shared" si="1" ref="I10:I22">G10-H10</f>
        <v>0</v>
      </c>
      <c r="J10" s="977">
        <v>1661</v>
      </c>
      <c r="K10" s="958">
        <v>1661</v>
      </c>
      <c r="L10" s="953">
        <v>14800</v>
      </c>
      <c r="M10" s="957">
        <f aca="true" t="shared" si="2" ref="M10:M17">K10-L10</f>
        <v>-13139</v>
      </c>
      <c r="N10" s="977">
        <f aca="true" t="shared" si="3" ref="N10:P23">B10+J10</f>
        <v>146377</v>
      </c>
      <c r="O10" s="958">
        <f t="shared" si="3"/>
        <v>148354</v>
      </c>
      <c r="P10" s="958">
        <f t="shared" si="3"/>
        <v>161249</v>
      </c>
      <c r="Q10" s="953">
        <f aca="true" t="shared" si="4" ref="Q10:Q22">O10-P10</f>
        <v>-12895</v>
      </c>
      <c r="R10" s="959">
        <f aca="true" t="shared" si="5" ref="R10:R23">P10*100/O10</f>
        <v>108.69204740013751</v>
      </c>
    </row>
    <row r="11" spans="1:18" ht="23.25" customHeight="1">
      <c r="A11" s="1010" t="s">
        <v>664</v>
      </c>
      <c r="B11" s="1011">
        <v>95046</v>
      </c>
      <c r="C11" s="958">
        <v>96608</v>
      </c>
      <c r="D11" s="953">
        <v>95227</v>
      </c>
      <c r="E11" s="954">
        <f t="shared" si="0"/>
        <v>1381</v>
      </c>
      <c r="F11" s="977">
        <v>0</v>
      </c>
      <c r="G11" s="958">
        <v>0</v>
      </c>
      <c r="H11" s="953">
        <v>0</v>
      </c>
      <c r="I11" s="954">
        <f t="shared" si="1"/>
        <v>0</v>
      </c>
      <c r="J11" s="977">
        <v>1088</v>
      </c>
      <c r="K11" s="958">
        <v>1088</v>
      </c>
      <c r="L11" s="953">
        <v>8096</v>
      </c>
      <c r="M11" s="957">
        <f t="shared" si="2"/>
        <v>-7008</v>
      </c>
      <c r="N11" s="977">
        <f t="shared" si="3"/>
        <v>96134</v>
      </c>
      <c r="O11" s="958">
        <f t="shared" si="3"/>
        <v>97696</v>
      </c>
      <c r="P11" s="958">
        <f t="shared" si="3"/>
        <v>103323</v>
      </c>
      <c r="Q11" s="953">
        <f t="shared" si="4"/>
        <v>-5627</v>
      </c>
      <c r="R11" s="959">
        <f t="shared" si="5"/>
        <v>105.75970357025876</v>
      </c>
    </row>
    <row r="12" spans="1:18" ht="23.25" customHeight="1">
      <c r="A12" s="1010" t="s">
        <v>665</v>
      </c>
      <c r="B12" s="1011">
        <v>86186</v>
      </c>
      <c r="C12" s="1012">
        <v>87765</v>
      </c>
      <c r="D12" s="953">
        <v>87636</v>
      </c>
      <c r="E12" s="954">
        <f t="shared" si="0"/>
        <v>129</v>
      </c>
      <c r="F12" s="977">
        <v>0</v>
      </c>
      <c r="G12" s="1012">
        <v>0</v>
      </c>
      <c r="H12" s="953">
        <v>0</v>
      </c>
      <c r="I12" s="954">
        <f t="shared" si="1"/>
        <v>0</v>
      </c>
      <c r="J12" s="977">
        <v>1932</v>
      </c>
      <c r="K12" s="1012">
        <v>1932</v>
      </c>
      <c r="L12" s="953">
        <v>23533</v>
      </c>
      <c r="M12" s="957">
        <f t="shared" si="2"/>
        <v>-21601</v>
      </c>
      <c r="N12" s="977">
        <f t="shared" si="3"/>
        <v>88118</v>
      </c>
      <c r="O12" s="958">
        <f t="shared" si="3"/>
        <v>89697</v>
      </c>
      <c r="P12" s="958">
        <f t="shared" si="3"/>
        <v>111169</v>
      </c>
      <c r="Q12" s="953">
        <f t="shared" si="4"/>
        <v>-21472</v>
      </c>
      <c r="R12" s="959">
        <f t="shared" si="5"/>
        <v>123.93837029109112</v>
      </c>
    </row>
    <row r="13" spans="1:18" ht="23.25" customHeight="1">
      <c r="A13" s="1010" t="s">
        <v>666</v>
      </c>
      <c r="B13" s="1011">
        <v>42824</v>
      </c>
      <c r="C13" s="958">
        <v>38959</v>
      </c>
      <c r="D13" s="953">
        <v>43564</v>
      </c>
      <c r="E13" s="954">
        <f t="shared" si="0"/>
        <v>-4605</v>
      </c>
      <c r="F13" s="977">
        <v>0</v>
      </c>
      <c r="G13" s="958">
        <v>0</v>
      </c>
      <c r="H13" s="953">
        <v>0</v>
      </c>
      <c r="I13" s="954">
        <f t="shared" si="1"/>
        <v>0</v>
      </c>
      <c r="J13" s="977">
        <v>10602</v>
      </c>
      <c r="K13" s="958">
        <v>10602</v>
      </c>
      <c r="L13" s="953">
        <v>28773</v>
      </c>
      <c r="M13" s="957">
        <f t="shared" si="2"/>
        <v>-18171</v>
      </c>
      <c r="N13" s="977">
        <f t="shared" si="3"/>
        <v>53426</v>
      </c>
      <c r="O13" s="958">
        <f t="shared" si="3"/>
        <v>49561</v>
      </c>
      <c r="P13" s="958">
        <f t="shared" si="3"/>
        <v>72337</v>
      </c>
      <c r="Q13" s="953">
        <f t="shared" si="4"/>
        <v>-22776</v>
      </c>
      <c r="R13" s="959">
        <f t="shared" si="5"/>
        <v>145.95548919513328</v>
      </c>
    </row>
    <row r="14" spans="1:18" ht="23.25" customHeight="1">
      <c r="A14" s="1010" t="s">
        <v>667</v>
      </c>
      <c r="B14" s="1011">
        <v>102697</v>
      </c>
      <c r="C14" s="958">
        <v>104398</v>
      </c>
      <c r="D14" s="953">
        <v>104424</v>
      </c>
      <c r="E14" s="954">
        <f t="shared" si="0"/>
        <v>-26</v>
      </c>
      <c r="F14" s="977">
        <v>0</v>
      </c>
      <c r="G14" s="958">
        <v>0</v>
      </c>
      <c r="H14" s="953">
        <v>1457</v>
      </c>
      <c r="I14" s="954">
        <f t="shared" si="1"/>
        <v>-1457</v>
      </c>
      <c r="J14" s="977">
        <v>847</v>
      </c>
      <c r="K14" s="958">
        <v>847</v>
      </c>
      <c r="L14" s="953">
        <v>7885</v>
      </c>
      <c r="M14" s="957">
        <f t="shared" si="2"/>
        <v>-7038</v>
      </c>
      <c r="N14" s="977">
        <f t="shared" si="3"/>
        <v>103544</v>
      </c>
      <c r="O14" s="958">
        <f t="shared" si="3"/>
        <v>105245</v>
      </c>
      <c r="P14" s="958">
        <f>D14+L14+H14</f>
        <v>113766</v>
      </c>
      <c r="Q14" s="953">
        <f t="shared" si="4"/>
        <v>-8521</v>
      </c>
      <c r="R14" s="959">
        <f t="shared" si="5"/>
        <v>108.09634661979192</v>
      </c>
    </row>
    <row r="15" spans="1:18" ht="23.25" customHeight="1">
      <c r="A15" s="1010" t="s">
        <v>668</v>
      </c>
      <c r="B15" s="1011">
        <v>52086</v>
      </c>
      <c r="C15" s="958">
        <v>52950</v>
      </c>
      <c r="D15" s="953">
        <v>53231</v>
      </c>
      <c r="E15" s="954">
        <f t="shared" si="0"/>
        <v>-281</v>
      </c>
      <c r="F15" s="977">
        <v>0</v>
      </c>
      <c r="G15" s="958">
        <v>0</v>
      </c>
      <c r="H15" s="953">
        <v>0</v>
      </c>
      <c r="I15" s="954">
        <f t="shared" si="1"/>
        <v>0</v>
      </c>
      <c r="J15" s="977">
        <v>691</v>
      </c>
      <c r="K15" s="958">
        <v>691</v>
      </c>
      <c r="L15" s="953">
        <v>2531</v>
      </c>
      <c r="M15" s="957">
        <f t="shared" si="2"/>
        <v>-1840</v>
      </c>
      <c r="N15" s="977">
        <f t="shared" si="3"/>
        <v>52777</v>
      </c>
      <c r="O15" s="958">
        <f t="shared" si="3"/>
        <v>53641</v>
      </c>
      <c r="P15" s="958">
        <f t="shared" si="3"/>
        <v>55762</v>
      </c>
      <c r="Q15" s="953">
        <f t="shared" si="4"/>
        <v>-2121</v>
      </c>
      <c r="R15" s="959">
        <f t="shared" si="5"/>
        <v>103.95406498760276</v>
      </c>
    </row>
    <row r="16" spans="1:18" ht="23.25" customHeight="1">
      <c r="A16" s="1010" t="s">
        <v>669</v>
      </c>
      <c r="B16" s="1011">
        <v>64435</v>
      </c>
      <c r="C16" s="958">
        <v>65581</v>
      </c>
      <c r="D16" s="953">
        <v>66991</v>
      </c>
      <c r="E16" s="954">
        <f t="shared" si="0"/>
        <v>-1410</v>
      </c>
      <c r="F16" s="977">
        <v>0</v>
      </c>
      <c r="G16" s="958">
        <v>0</v>
      </c>
      <c r="H16" s="953">
        <v>0</v>
      </c>
      <c r="I16" s="954">
        <f t="shared" si="1"/>
        <v>0</v>
      </c>
      <c r="J16" s="977">
        <v>1883</v>
      </c>
      <c r="K16" s="958">
        <v>1883</v>
      </c>
      <c r="L16" s="953">
        <v>8228</v>
      </c>
      <c r="M16" s="957">
        <f t="shared" si="2"/>
        <v>-6345</v>
      </c>
      <c r="N16" s="977">
        <f t="shared" si="3"/>
        <v>66318</v>
      </c>
      <c r="O16" s="958">
        <f t="shared" si="3"/>
        <v>67464</v>
      </c>
      <c r="P16" s="958">
        <f t="shared" si="3"/>
        <v>75219</v>
      </c>
      <c r="Q16" s="953">
        <f t="shared" si="4"/>
        <v>-7755</v>
      </c>
      <c r="R16" s="959">
        <f t="shared" si="5"/>
        <v>111.49501956599075</v>
      </c>
    </row>
    <row r="17" spans="1:18" ht="23.25" customHeight="1">
      <c r="A17" s="1010" t="s">
        <v>670</v>
      </c>
      <c r="B17" s="1011">
        <v>57589</v>
      </c>
      <c r="C17" s="958">
        <v>58588</v>
      </c>
      <c r="D17" s="953">
        <v>58599</v>
      </c>
      <c r="E17" s="954">
        <f t="shared" si="0"/>
        <v>-11</v>
      </c>
      <c r="F17" s="977">
        <v>0</v>
      </c>
      <c r="G17" s="958">
        <v>0</v>
      </c>
      <c r="H17" s="953">
        <v>0</v>
      </c>
      <c r="I17" s="954">
        <f t="shared" si="1"/>
        <v>0</v>
      </c>
      <c r="J17" s="977">
        <v>757</v>
      </c>
      <c r="K17" s="958">
        <v>757</v>
      </c>
      <c r="L17" s="953">
        <v>9506</v>
      </c>
      <c r="M17" s="957">
        <f t="shared" si="2"/>
        <v>-8749</v>
      </c>
      <c r="N17" s="977">
        <f t="shared" si="3"/>
        <v>58346</v>
      </c>
      <c r="O17" s="958">
        <f t="shared" si="3"/>
        <v>59345</v>
      </c>
      <c r="P17" s="958">
        <f t="shared" si="3"/>
        <v>68105</v>
      </c>
      <c r="Q17" s="953">
        <f t="shared" si="4"/>
        <v>-8760</v>
      </c>
      <c r="R17" s="959">
        <f t="shared" si="5"/>
        <v>114.76114247198585</v>
      </c>
    </row>
    <row r="18" spans="1:18" ht="23.25" customHeight="1">
      <c r="A18" s="1010" t="s">
        <v>671</v>
      </c>
      <c r="B18" s="1011">
        <v>75981</v>
      </c>
      <c r="C18" s="958">
        <v>76498</v>
      </c>
      <c r="D18" s="953">
        <v>76318</v>
      </c>
      <c r="E18" s="954">
        <f t="shared" si="0"/>
        <v>180</v>
      </c>
      <c r="F18" s="977">
        <v>0</v>
      </c>
      <c r="G18" s="958">
        <v>0</v>
      </c>
      <c r="H18" s="953">
        <v>0</v>
      </c>
      <c r="I18" s="954">
        <f t="shared" si="1"/>
        <v>0</v>
      </c>
      <c r="J18" s="977">
        <v>1406</v>
      </c>
      <c r="K18" s="958">
        <v>1406</v>
      </c>
      <c r="L18" s="953">
        <f>10427-1</f>
        <v>10426</v>
      </c>
      <c r="M18" s="957">
        <f>K18-L18</f>
        <v>-9020</v>
      </c>
      <c r="N18" s="977">
        <f t="shared" si="3"/>
        <v>77387</v>
      </c>
      <c r="O18" s="958">
        <f t="shared" si="3"/>
        <v>77904</v>
      </c>
      <c r="P18" s="958">
        <f t="shared" si="3"/>
        <v>86744</v>
      </c>
      <c r="Q18" s="953">
        <f t="shared" si="4"/>
        <v>-8840</v>
      </c>
      <c r="R18" s="959">
        <f t="shared" si="5"/>
        <v>111.34729924009036</v>
      </c>
    </row>
    <row r="19" spans="1:18" ht="23.25" customHeight="1">
      <c r="A19" s="1013" t="s">
        <v>672</v>
      </c>
      <c r="B19" s="1014">
        <v>117863</v>
      </c>
      <c r="C19" s="967">
        <v>120036</v>
      </c>
      <c r="D19" s="962">
        <v>120686</v>
      </c>
      <c r="E19" s="954">
        <f t="shared" si="0"/>
        <v>-650</v>
      </c>
      <c r="F19" s="956">
        <v>0</v>
      </c>
      <c r="G19" s="967">
        <v>0</v>
      </c>
      <c r="H19" s="962">
        <v>0</v>
      </c>
      <c r="I19" s="954">
        <f t="shared" si="1"/>
        <v>0</v>
      </c>
      <c r="J19" s="956">
        <v>4950</v>
      </c>
      <c r="K19" s="967">
        <v>4950</v>
      </c>
      <c r="L19" s="962">
        <v>15709</v>
      </c>
      <c r="M19" s="957">
        <f>K19-L19</f>
        <v>-10759</v>
      </c>
      <c r="N19" s="977">
        <f t="shared" si="3"/>
        <v>122813</v>
      </c>
      <c r="O19" s="958">
        <f t="shared" si="3"/>
        <v>124986</v>
      </c>
      <c r="P19" s="958">
        <f t="shared" si="3"/>
        <v>136395</v>
      </c>
      <c r="Q19" s="953">
        <f t="shared" si="4"/>
        <v>-11409</v>
      </c>
      <c r="R19" s="959">
        <f t="shared" si="5"/>
        <v>109.12822236090442</v>
      </c>
    </row>
    <row r="20" spans="1:18" ht="23.25" customHeight="1">
      <c r="A20" s="1013" t="s">
        <v>673</v>
      </c>
      <c r="B20" s="1014">
        <v>57858</v>
      </c>
      <c r="C20" s="967">
        <v>58822</v>
      </c>
      <c r="D20" s="962">
        <v>58759</v>
      </c>
      <c r="E20" s="954">
        <f t="shared" si="0"/>
        <v>63</v>
      </c>
      <c r="F20" s="956">
        <v>0</v>
      </c>
      <c r="G20" s="967">
        <v>0</v>
      </c>
      <c r="H20" s="962">
        <v>0</v>
      </c>
      <c r="I20" s="954">
        <f t="shared" si="1"/>
        <v>0</v>
      </c>
      <c r="J20" s="956">
        <v>504</v>
      </c>
      <c r="K20" s="967">
        <v>504</v>
      </c>
      <c r="L20" s="962">
        <v>5384</v>
      </c>
      <c r="M20" s="957">
        <f>K20-L20</f>
        <v>-4880</v>
      </c>
      <c r="N20" s="977">
        <f t="shared" si="3"/>
        <v>58362</v>
      </c>
      <c r="O20" s="958">
        <f t="shared" si="3"/>
        <v>59326</v>
      </c>
      <c r="P20" s="958">
        <f t="shared" si="3"/>
        <v>64143</v>
      </c>
      <c r="Q20" s="953">
        <f t="shared" si="4"/>
        <v>-4817</v>
      </c>
      <c r="R20" s="959">
        <f t="shared" si="5"/>
        <v>108.11954286484847</v>
      </c>
    </row>
    <row r="21" spans="1:18" ht="23.25" customHeight="1">
      <c r="A21" s="1013" t="s">
        <v>674</v>
      </c>
      <c r="B21" s="1014">
        <v>75040</v>
      </c>
      <c r="C21" s="967">
        <v>77161</v>
      </c>
      <c r="D21" s="962">
        <f>77343-1</f>
        <v>77342</v>
      </c>
      <c r="E21" s="954">
        <f t="shared" si="0"/>
        <v>-181</v>
      </c>
      <c r="F21" s="956">
        <v>0</v>
      </c>
      <c r="G21" s="967">
        <v>0</v>
      </c>
      <c r="H21" s="962">
        <v>0</v>
      </c>
      <c r="I21" s="954">
        <f t="shared" si="1"/>
        <v>0</v>
      </c>
      <c r="J21" s="956">
        <v>654</v>
      </c>
      <c r="K21" s="967">
        <v>654</v>
      </c>
      <c r="L21" s="962">
        <v>11126</v>
      </c>
      <c r="M21" s="957">
        <f>K21-L21</f>
        <v>-10472</v>
      </c>
      <c r="N21" s="977">
        <f t="shared" si="3"/>
        <v>75694</v>
      </c>
      <c r="O21" s="958">
        <f t="shared" si="3"/>
        <v>77815</v>
      </c>
      <c r="P21" s="958">
        <f t="shared" si="3"/>
        <v>88468</v>
      </c>
      <c r="Q21" s="953">
        <f t="shared" si="4"/>
        <v>-10653</v>
      </c>
      <c r="R21" s="959">
        <f t="shared" si="5"/>
        <v>113.69016256505815</v>
      </c>
    </row>
    <row r="22" spans="1:18" ht="23.25" customHeight="1" thickBot="1">
      <c r="A22" s="1013" t="s">
        <v>675</v>
      </c>
      <c r="B22" s="1014">
        <v>124091</v>
      </c>
      <c r="C22" s="967">
        <v>128310</v>
      </c>
      <c r="D22" s="962">
        <v>130592</v>
      </c>
      <c r="E22" s="954">
        <f t="shared" si="0"/>
        <v>-2282</v>
      </c>
      <c r="F22" s="956">
        <v>0</v>
      </c>
      <c r="G22" s="967">
        <v>0</v>
      </c>
      <c r="H22" s="962">
        <v>0</v>
      </c>
      <c r="I22" s="954">
        <f t="shared" si="1"/>
        <v>0</v>
      </c>
      <c r="J22" s="956">
        <v>1204</v>
      </c>
      <c r="K22" s="967">
        <v>1204</v>
      </c>
      <c r="L22" s="965">
        <f>26081-1</f>
        <v>26080</v>
      </c>
      <c r="M22" s="957">
        <f>K22-L22</f>
        <v>-24876</v>
      </c>
      <c r="N22" s="956">
        <f t="shared" si="3"/>
        <v>125295</v>
      </c>
      <c r="O22" s="967">
        <f t="shared" si="3"/>
        <v>129514</v>
      </c>
      <c r="P22" s="967">
        <f t="shared" si="3"/>
        <v>156672</v>
      </c>
      <c r="Q22" s="962">
        <f t="shared" si="4"/>
        <v>-27158</v>
      </c>
      <c r="R22" s="959">
        <f t="shared" si="5"/>
        <v>120.96916163503559</v>
      </c>
    </row>
    <row r="23" spans="1:18" s="581" customFormat="1" ht="19.5" customHeight="1" thickBot="1">
      <c r="A23" s="1015" t="s">
        <v>1808</v>
      </c>
      <c r="B23" s="580">
        <f>SUM(B9:B22)</f>
        <v>1227125</v>
      </c>
      <c r="C23" s="575">
        <f aca="true" t="shared" si="6" ref="C23:Q23">SUM(C9:C22)</f>
        <v>1245842</v>
      </c>
      <c r="D23" s="1016">
        <f t="shared" si="6"/>
        <v>1253529</v>
      </c>
      <c r="E23" s="1017">
        <f t="shared" si="6"/>
        <v>-7687</v>
      </c>
      <c r="F23" s="1018">
        <f>SUM(F9:F22)</f>
        <v>0</v>
      </c>
      <c r="G23" s="575">
        <f t="shared" si="6"/>
        <v>0</v>
      </c>
      <c r="H23" s="1016">
        <f t="shared" si="6"/>
        <v>1457</v>
      </c>
      <c r="I23" s="1017">
        <f t="shared" si="6"/>
        <v>-1457</v>
      </c>
      <c r="J23" s="1018">
        <f>SUM(J9:J22)</f>
        <v>28520</v>
      </c>
      <c r="K23" s="575">
        <f t="shared" si="6"/>
        <v>28520</v>
      </c>
      <c r="L23" s="1017">
        <f t="shared" si="6"/>
        <v>176113</v>
      </c>
      <c r="M23" s="1017">
        <f t="shared" si="6"/>
        <v>-147593</v>
      </c>
      <c r="N23" s="1019">
        <f t="shared" si="3"/>
        <v>1255645</v>
      </c>
      <c r="O23" s="575">
        <f t="shared" si="3"/>
        <v>1274362</v>
      </c>
      <c r="P23" s="575">
        <f>D23+L23+H23</f>
        <v>1431099</v>
      </c>
      <c r="Q23" s="1020">
        <f t="shared" si="6"/>
        <v>-156737</v>
      </c>
      <c r="R23" s="1021">
        <f t="shared" si="5"/>
        <v>112.29925248869631</v>
      </c>
    </row>
    <row r="27" spans="1:34" s="581" customFormat="1" ht="18.75" customHeight="1">
      <c r="A27" s="1022" t="s">
        <v>678</v>
      </c>
      <c r="C27" s="1022"/>
      <c r="D27" s="1022"/>
      <c r="E27" s="1022"/>
      <c r="F27" s="1022"/>
      <c r="G27" s="1023" t="s">
        <v>1761</v>
      </c>
      <c r="H27" s="1023"/>
      <c r="I27" s="1023"/>
      <c r="J27" s="1023"/>
      <c r="K27" s="1023"/>
      <c r="L27" s="1023"/>
      <c r="O27" s="1023"/>
      <c r="P27" s="1023"/>
      <c r="Q27" s="1200" t="s">
        <v>1757</v>
      </c>
      <c r="R27" s="1200"/>
      <c r="AG27" s="1024"/>
      <c r="AH27" s="1024"/>
    </row>
    <row r="32" ht="12.75">
      <c r="H32" t="s">
        <v>1361</v>
      </c>
    </row>
    <row r="54" spans="1:2" ht="12.75">
      <c r="A54" s="993"/>
      <c r="B54" s="993"/>
    </row>
  </sheetData>
  <mergeCells count="8">
    <mergeCell ref="Q1:R1"/>
    <mergeCell ref="A3:R3"/>
    <mergeCell ref="B6:E6"/>
    <mergeCell ref="N6:R6"/>
    <mergeCell ref="R7:R8"/>
    <mergeCell ref="Q27:R27"/>
    <mergeCell ref="F6:I6"/>
    <mergeCell ref="J6:M6"/>
  </mergeCells>
  <printOptions horizontalCentered="1"/>
  <pageMargins left="0.5905511811023623" right="0.5905511811023623" top="0.984251968503937" bottom="0.7874015748031497" header="0.7086614173228347" footer="0.31496062992125984"/>
  <pageSetup fitToHeight="1" fitToWidth="1" horizontalDpi="600" verticalDpi="600" orientation="landscape" paperSize="9" scale="60" r:id="rId1"/>
  <headerFooter alignWithMargins="0">
    <oddFooter>&amp;C&amp;14 &amp;12&amp;P+116&amp;14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4"/>
  <sheetViews>
    <sheetView zoomScale="80" zoomScaleNormal="80" workbookViewId="0" topLeftCell="A13">
      <selection activeCell="R3" sqref="R3"/>
    </sheetView>
  </sheetViews>
  <sheetFormatPr defaultColWidth="9.00390625" defaultRowHeight="12.75"/>
  <cols>
    <col min="1" max="1" width="5.75390625" style="755" customWidth="1"/>
    <col min="2" max="2" width="41.25390625" style="755" customWidth="1"/>
    <col min="3" max="3" width="20.625" style="755" customWidth="1"/>
    <col min="4" max="4" width="20.625" style="847" customWidth="1"/>
    <col min="5" max="5" width="24.625" style="755" customWidth="1"/>
    <col min="6" max="6" width="23.125" style="755" customWidth="1"/>
    <col min="7" max="7" width="20.75390625" style="755" customWidth="1"/>
    <col min="8" max="8" width="19.25390625" style="755" customWidth="1"/>
    <col min="9" max="9" width="5.75390625" style="755" hidden="1" customWidth="1"/>
    <col min="10" max="10" width="32.625" style="755" hidden="1" customWidth="1"/>
    <col min="11" max="11" width="18.75390625" style="755" customWidth="1"/>
    <col min="12" max="12" width="20.375" style="755" customWidth="1"/>
    <col min="13" max="16" width="18.125" style="755" customWidth="1"/>
    <col min="17" max="17" width="17.00390625" style="755" customWidth="1"/>
    <col min="18" max="18" width="19.625" style="755" customWidth="1"/>
    <col min="19" max="16384" width="8.875" style="755" customWidth="1"/>
  </cols>
  <sheetData>
    <row r="2" spans="2:18" s="909" customFormat="1" ht="27" customHeight="1">
      <c r="B2" s="910" t="s">
        <v>2058</v>
      </c>
      <c r="R2" s="911" t="s">
        <v>1765</v>
      </c>
    </row>
    <row r="3" spans="3:6" ht="17.25" customHeight="1">
      <c r="C3" s="756"/>
      <c r="D3" s="757"/>
      <c r="E3" s="756"/>
      <c r="F3" s="756"/>
    </row>
    <row r="4" spans="1:18" s="912" customFormat="1" ht="29.25" customHeight="1">
      <c r="A4" s="1228" t="s">
        <v>2060</v>
      </c>
      <c r="B4" s="1228"/>
      <c r="C4" s="1228"/>
      <c r="D4" s="1228"/>
      <c r="E4" s="1228"/>
      <c r="F4" s="1228"/>
      <c r="G4" s="1228"/>
      <c r="H4" s="1228"/>
      <c r="I4" s="1228"/>
      <c r="J4" s="1228"/>
      <c r="K4" s="1228"/>
      <c r="L4" s="1228"/>
      <c r="M4" s="1228"/>
      <c r="N4" s="1228"/>
      <c r="O4" s="1228"/>
      <c r="P4" s="1228"/>
      <c r="Q4" s="1228"/>
      <c r="R4" s="1228"/>
    </row>
    <row r="5" spans="1:18" s="759" customFormat="1" ht="36" customHeight="1">
      <c r="A5" s="758"/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</row>
    <row r="6" spans="2:18" ht="18.75" thickBot="1">
      <c r="B6" s="1229"/>
      <c r="C6" s="1229"/>
      <c r="D6" s="1229"/>
      <c r="E6" s="1229"/>
      <c r="F6" s="1229"/>
      <c r="G6" s="1229"/>
      <c r="H6" s="1229"/>
      <c r="I6" s="1229"/>
      <c r="J6" s="1229"/>
      <c r="K6" s="1229"/>
      <c r="L6" s="1229"/>
      <c r="M6" s="1229"/>
      <c r="N6" s="1229"/>
      <c r="O6" s="760"/>
      <c r="P6" s="760"/>
      <c r="Q6" s="760"/>
      <c r="R6" s="761" t="s">
        <v>2061</v>
      </c>
    </row>
    <row r="7" spans="1:18" s="762" customFormat="1" ht="21.75" customHeight="1" thickBot="1">
      <c r="A7" s="1230"/>
      <c r="B7" s="1233" t="s">
        <v>2062</v>
      </c>
      <c r="C7" s="1236" t="s">
        <v>7</v>
      </c>
      <c r="D7" s="1217" t="s">
        <v>8</v>
      </c>
      <c r="E7" s="1240" t="s">
        <v>1281</v>
      </c>
      <c r="F7" s="1241"/>
      <c r="G7" s="1217" t="s">
        <v>2063</v>
      </c>
      <c r="H7" s="1218"/>
      <c r="I7" s="1230"/>
      <c r="J7" s="1242" t="s">
        <v>2062</v>
      </c>
      <c r="K7" s="1208" t="s">
        <v>1282</v>
      </c>
      <c r="L7" s="1208" t="s">
        <v>2064</v>
      </c>
      <c r="M7" s="1217" t="s">
        <v>2065</v>
      </c>
      <c r="N7" s="1225"/>
      <c r="O7" s="1221" t="s">
        <v>2066</v>
      </c>
      <c r="P7" s="1222"/>
      <c r="Q7" s="1208" t="s">
        <v>2067</v>
      </c>
      <c r="R7" s="1211" t="s">
        <v>2068</v>
      </c>
    </row>
    <row r="8" spans="1:18" s="762" customFormat="1" ht="54" customHeight="1" thickBot="1">
      <c r="A8" s="1231"/>
      <c r="B8" s="1234"/>
      <c r="C8" s="1237"/>
      <c r="D8" s="1239"/>
      <c r="E8" s="1214" t="s">
        <v>1283</v>
      </c>
      <c r="F8" s="1216" t="s">
        <v>1284</v>
      </c>
      <c r="G8" s="1219"/>
      <c r="H8" s="1220"/>
      <c r="I8" s="1231"/>
      <c r="J8" s="1243"/>
      <c r="K8" s="1212"/>
      <c r="L8" s="1209"/>
      <c r="M8" s="1226"/>
      <c r="N8" s="1227"/>
      <c r="O8" s="1223"/>
      <c r="P8" s="1224"/>
      <c r="Q8" s="1209"/>
      <c r="R8" s="1212"/>
    </row>
    <row r="9" spans="1:18" s="762" customFormat="1" ht="75" customHeight="1" thickBot="1">
      <c r="A9" s="1232"/>
      <c r="B9" s="1235"/>
      <c r="C9" s="1238"/>
      <c r="D9" s="1226"/>
      <c r="E9" s="1215"/>
      <c r="F9" s="1213"/>
      <c r="G9" s="908" t="s">
        <v>2061</v>
      </c>
      <c r="H9" s="908" t="s">
        <v>2069</v>
      </c>
      <c r="I9" s="1232"/>
      <c r="J9" s="1244"/>
      <c r="K9" s="1213"/>
      <c r="L9" s="1210"/>
      <c r="M9" s="764" t="s">
        <v>2070</v>
      </c>
      <c r="N9" s="764" t="s">
        <v>2071</v>
      </c>
      <c r="O9" s="763" t="s">
        <v>2072</v>
      </c>
      <c r="P9" s="763" t="s">
        <v>2073</v>
      </c>
      <c r="Q9" s="1210"/>
      <c r="R9" s="1213"/>
    </row>
    <row r="10" spans="1:18" s="774" customFormat="1" ht="21" customHeight="1" thickBot="1">
      <c r="A10" s="765"/>
      <c r="B10" s="766" t="s">
        <v>2074</v>
      </c>
      <c r="C10" s="767">
        <v>1</v>
      </c>
      <c r="D10" s="768">
        <v>2</v>
      </c>
      <c r="E10" s="769">
        <v>3</v>
      </c>
      <c r="F10" s="770">
        <v>4</v>
      </c>
      <c r="G10" s="767" t="s">
        <v>2075</v>
      </c>
      <c r="H10" s="767" t="s">
        <v>1334</v>
      </c>
      <c r="I10" s="765"/>
      <c r="J10" s="766" t="s">
        <v>2074</v>
      </c>
      <c r="K10" s="771">
        <v>7</v>
      </c>
      <c r="L10" s="771" t="s">
        <v>1335</v>
      </c>
      <c r="M10" s="772" t="s">
        <v>1336</v>
      </c>
      <c r="N10" s="773" t="s">
        <v>1337</v>
      </c>
      <c r="O10" s="772" t="s">
        <v>1338</v>
      </c>
      <c r="P10" s="772" t="s">
        <v>1339</v>
      </c>
      <c r="Q10" s="772" t="s">
        <v>1340</v>
      </c>
      <c r="R10" s="772" t="s">
        <v>1341</v>
      </c>
    </row>
    <row r="11" spans="1:18" s="762" customFormat="1" ht="32.25" customHeight="1" thickBot="1">
      <c r="A11" s="775"/>
      <c r="B11" s="776" t="s">
        <v>1342</v>
      </c>
      <c r="C11" s="913">
        <f>SUM(C13:C24)</f>
        <v>3489047000</v>
      </c>
      <c r="D11" s="913">
        <f>SUM(D13:D24)</f>
        <v>3489047000</v>
      </c>
      <c r="E11" s="918">
        <f>SUM(E13:E26)-SUM(E18:E19)-SUM(E22:E23)</f>
        <v>3566076654</v>
      </c>
      <c r="F11" s="777">
        <f>SUM(F13:F26)-SUM(F18:F19)-SUM(F22:F23)</f>
        <v>100467168</v>
      </c>
      <c r="G11" s="778">
        <f>E11-D11</f>
        <v>77029654</v>
      </c>
      <c r="H11" s="779">
        <f>E11/D11</f>
        <v>1.022077562727014</v>
      </c>
      <c r="I11" s="775"/>
      <c r="J11" s="780" t="s">
        <v>1342</v>
      </c>
      <c r="K11" s="777">
        <f>SUM(K13:K26)-SUM(K18:K19)-SUM(K22:K23)</f>
        <v>3336684116</v>
      </c>
      <c r="L11" s="781">
        <f>E11/K11</f>
        <v>1.0687486528616903</v>
      </c>
      <c r="M11" s="777">
        <f>SUM(M13:M26)-SUM(M18:M19)-SUM(M22:M23)</f>
        <v>28715</v>
      </c>
      <c r="N11" s="777">
        <f>SUM(N13:N26)-SUM(N18:N19)-SUM(N22:N23)</f>
        <v>27792</v>
      </c>
      <c r="O11" s="782" t="s">
        <v>159</v>
      </c>
      <c r="P11" s="782" t="s">
        <v>159</v>
      </c>
      <c r="Q11" s="777">
        <f>SUM(Q13:Q26)-SUM(Q18:Q19)-SUM(Q22:Q23)</f>
        <v>2236</v>
      </c>
      <c r="R11" s="777">
        <v>115</v>
      </c>
    </row>
    <row r="12" spans="1:18" s="762" customFormat="1" ht="24" customHeight="1">
      <c r="A12" s="783"/>
      <c r="B12" s="784" t="s">
        <v>1343</v>
      </c>
      <c r="C12" s="914"/>
      <c r="D12" s="914"/>
      <c r="E12" s="919"/>
      <c r="F12" s="786"/>
      <c r="G12" s="787"/>
      <c r="H12" s="788"/>
      <c r="I12" s="783"/>
      <c r="J12" s="789" t="s">
        <v>1343</v>
      </c>
      <c r="K12" s="790"/>
      <c r="L12" s="791"/>
      <c r="M12" s="792"/>
      <c r="N12" s="792"/>
      <c r="O12" s="793"/>
      <c r="P12" s="793"/>
      <c r="Q12" s="794"/>
      <c r="R12" s="794"/>
    </row>
    <row r="13" spans="1:18" s="762" customFormat="1" ht="27" customHeight="1">
      <c r="A13" s="795">
        <v>1</v>
      </c>
      <c r="B13" s="796" t="s">
        <v>1344</v>
      </c>
      <c r="C13" s="915">
        <v>3061047000</v>
      </c>
      <c r="D13" s="915">
        <v>3061047000</v>
      </c>
      <c r="E13" s="920">
        <v>3134654459</v>
      </c>
      <c r="F13" s="797">
        <v>55000000</v>
      </c>
      <c r="G13" s="798">
        <f>E13-D13</f>
        <v>73607459</v>
      </c>
      <c r="H13" s="799">
        <f>E13/D13</f>
        <v>1.0240464974892578</v>
      </c>
      <c r="I13" s="795">
        <v>1</v>
      </c>
      <c r="J13" s="800" t="s">
        <v>1344</v>
      </c>
      <c r="K13" s="801">
        <v>2936496518</v>
      </c>
      <c r="L13" s="802">
        <f>E13/K13</f>
        <v>1.0674810747383288</v>
      </c>
      <c r="M13" s="803">
        <v>22482</v>
      </c>
      <c r="N13" s="803">
        <v>21657</v>
      </c>
      <c r="O13" s="804">
        <v>11466</v>
      </c>
      <c r="P13" s="804">
        <v>10880</v>
      </c>
      <c r="Q13" s="805">
        <v>1557</v>
      </c>
      <c r="R13" s="805">
        <v>115</v>
      </c>
    </row>
    <row r="14" spans="1:18" s="762" customFormat="1" ht="27" customHeight="1">
      <c r="A14" s="806">
        <v>2</v>
      </c>
      <c r="B14" s="796" t="s">
        <v>1345</v>
      </c>
      <c r="C14" s="915">
        <v>190000000</v>
      </c>
      <c r="D14" s="915">
        <v>190000000</v>
      </c>
      <c r="E14" s="920">
        <v>190709095</v>
      </c>
      <c r="F14" s="797">
        <v>9467000</v>
      </c>
      <c r="G14" s="798">
        <f>E14-D14</f>
        <v>709095</v>
      </c>
      <c r="H14" s="799">
        <f>E14/D14</f>
        <v>1.0037320789473685</v>
      </c>
      <c r="I14" s="806">
        <v>2</v>
      </c>
      <c r="J14" s="800" t="s">
        <v>1345</v>
      </c>
      <c r="K14" s="801">
        <v>178324191</v>
      </c>
      <c r="L14" s="802">
        <f>E14/K14</f>
        <v>1.0694516202796063</v>
      </c>
      <c r="M14" s="803">
        <v>1388</v>
      </c>
      <c r="N14" s="803">
        <v>1385</v>
      </c>
      <c r="O14" s="804">
        <v>11464</v>
      </c>
      <c r="P14" s="804">
        <v>10812</v>
      </c>
      <c r="Q14" s="805">
        <v>108</v>
      </c>
      <c r="R14" s="805"/>
    </row>
    <row r="15" spans="1:18" s="762" customFormat="1" ht="27" customHeight="1">
      <c r="A15" s="795">
        <v>3</v>
      </c>
      <c r="B15" s="796" t="s">
        <v>1346</v>
      </c>
      <c r="C15" s="915">
        <v>16000000</v>
      </c>
      <c r="D15" s="915">
        <v>16000000</v>
      </c>
      <c r="E15" s="920">
        <v>26277437</v>
      </c>
      <c r="F15" s="797">
        <v>13000168</v>
      </c>
      <c r="G15" s="798">
        <f>E15-D15</f>
        <v>10277437</v>
      </c>
      <c r="H15" s="799">
        <f>E15/D15</f>
        <v>1.6423398125</v>
      </c>
      <c r="I15" s="795">
        <v>3</v>
      </c>
      <c r="J15" s="800" t="s">
        <v>1346</v>
      </c>
      <c r="K15" s="801">
        <v>20707194</v>
      </c>
      <c r="L15" s="802">
        <f>E15/K15</f>
        <v>1.2690003773567775</v>
      </c>
      <c r="M15" s="803">
        <v>338</v>
      </c>
      <c r="N15" s="807">
        <v>300</v>
      </c>
      <c r="O15" s="804">
        <v>6835</v>
      </c>
      <c r="P15" s="804">
        <v>6090</v>
      </c>
      <c r="Q15" s="805">
        <v>71</v>
      </c>
      <c r="R15" s="805"/>
    </row>
    <row r="16" spans="1:18" s="762" customFormat="1" ht="27" customHeight="1">
      <c r="A16" s="806">
        <v>4</v>
      </c>
      <c r="B16" s="796" t="s">
        <v>1347</v>
      </c>
      <c r="C16" s="916">
        <v>129000000</v>
      </c>
      <c r="D16" s="916">
        <v>129000000</v>
      </c>
      <c r="E16" s="921">
        <v>122842202</v>
      </c>
      <c r="F16" s="808">
        <v>7000000</v>
      </c>
      <c r="G16" s="798">
        <f>E16-D16</f>
        <v>-6157798</v>
      </c>
      <c r="H16" s="799">
        <f>E16/D16</f>
        <v>0.9522651317829457</v>
      </c>
      <c r="I16" s="806">
        <v>4</v>
      </c>
      <c r="J16" s="800" t="s">
        <v>1347</v>
      </c>
      <c r="K16" s="808">
        <v>118836821</v>
      </c>
      <c r="L16" s="802">
        <f>E16/K16</f>
        <v>1.033704881755462</v>
      </c>
      <c r="M16" s="808">
        <v>1918</v>
      </c>
      <c r="N16" s="808">
        <v>1920</v>
      </c>
      <c r="O16" s="852">
        <v>5258</v>
      </c>
      <c r="P16" s="809">
        <v>5020</v>
      </c>
      <c r="Q16" s="808">
        <v>199</v>
      </c>
      <c r="R16" s="808">
        <f>R18+R19</f>
        <v>0</v>
      </c>
    </row>
    <row r="17" spans="1:18" s="762" customFormat="1" ht="24" customHeight="1">
      <c r="A17" s="783"/>
      <c r="B17" s="810" t="s">
        <v>1348</v>
      </c>
      <c r="C17" s="914"/>
      <c r="D17" s="914"/>
      <c r="E17" s="922"/>
      <c r="F17" s="811"/>
      <c r="G17" s="787"/>
      <c r="H17" s="788"/>
      <c r="I17" s="783"/>
      <c r="J17" s="812" t="s">
        <v>1348</v>
      </c>
      <c r="K17" s="798"/>
      <c r="L17" s="813"/>
      <c r="M17" s="798"/>
      <c r="N17" s="798"/>
      <c r="O17" s="814"/>
      <c r="P17" s="815"/>
      <c r="Q17" s="794"/>
      <c r="R17" s="794"/>
    </row>
    <row r="18" spans="1:18" s="825" customFormat="1" ht="24" customHeight="1">
      <c r="A18" s="816" t="s">
        <v>1349</v>
      </c>
      <c r="B18" s="817" t="s">
        <v>1350</v>
      </c>
      <c r="C18" s="917" t="s">
        <v>1351</v>
      </c>
      <c r="D18" s="914"/>
      <c r="E18" s="923"/>
      <c r="F18" s="818"/>
      <c r="G18" s="819"/>
      <c r="H18" s="788"/>
      <c r="I18" s="816" t="s">
        <v>1349</v>
      </c>
      <c r="J18" s="820" t="s">
        <v>1350</v>
      </c>
      <c r="K18" s="821" t="s">
        <v>1351</v>
      </c>
      <c r="L18" s="802" t="s">
        <v>1351</v>
      </c>
      <c r="M18" s="822"/>
      <c r="N18" s="822">
        <v>0</v>
      </c>
      <c r="O18" s="823"/>
      <c r="P18" s="823">
        <v>0</v>
      </c>
      <c r="Q18" s="824"/>
      <c r="R18" s="824"/>
    </row>
    <row r="19" spans="1:18" s="825" customFormat="1" ht="24" customHeight="1">
      <c r="A19" s="816" t="s">
        <v>1352</v>
      </c>
      <c r="B19" s="817" t="s">
        <v>1353</v>
      </c>
      <c r="C19" s="917" t="s">
        <v>1351</v>
      </c>
      <c r="D19" s="914"/>
      <c r="E19" s="923"/>
      <c r="F19" s="818"/>
      <c r="G19" s="819"/>
      <c r="H19" s="788"/>
      <c r="I19" s="816" t="s">
        <v>1352</v>
      </c>
      <c r="J19" s="820" t="s">
        <v>1353</v>
      </c>
      <c r="K19" s="826" t="s">
        <v>1351</v>
      </c>
      <c r="L19" s="802" t="s">
        <v>1351</v>
      </c>
      <c r="M19" s="822"/>
      <c r="N19" s="827">
        <v>0</v>
      </c>
      <c r="O19" s="823"/>
      <c r="P19" s="823" t="s">
        <v>159</v>
      </c>
      <c r="Q19" s="824"/>
      <c r="R19" s="824"/>
    </row>
    <row r="20" spans="1:18" s="762" customFormat="1" ht="27" customHeight="1">
      <c r="A20" s="806">
        <v>5</v>
      </c>
      <c r="B20" s="796" t="s">
        <v>1354</v>
      </c>
      <c r="C20" s="916">
        <v>34000000</v>
      </c>
      <c r="D20" s="916">
        <v>34000000</v>
      </c>
      <c r="E20" s="921">
        <v>34267513</v>
      </c>
      <c r="F20" s="808">
        <v>10000000</v>
      </c>
      <c r="G20" s="791">
        <f>E20-D20</f>
        <v>267513</v>
      </c>
      <c r="H20" s="828">
        <f>E20/D20</f>
        <v>1.0078680294117648</v>
      </c>
      <c r="I20" s="806">
        <v>5</v>
      </c>
      <c r="J20" s="800" t="s">
        <v>1354</v>
      </c>
      <c r="K20" s="808">
        <v>31109455</v>
      </c>
      <c r="L20" s="802">
        <f>E20/K20</f>
        <v>1.1015144109724841</v>
      </c>
      <c r="M20" s="808">
        <v>1726</v>
      </c>
      <c r="N20" s="808">
        <v>1679</v>
      </c>
      <c r="O20" s="809">
        <v>1599</v>
      </c>
      <c r="P20" s="809">
        <v>1519</v>
      </c>
      <c r="Q20" s="808">
        <v>193</v>
      </c>
      <c r="R20" s="808">
        <f>R22+R23</f>
        <v>0</v>
      </c>
    </row>
    <row r="21" spans="1:18" s="832" customFormat="1" ht="24" customHeight="1">
      <c r="A21" s="829"/>
      <c r="B21" s="810" t="s">
        <v>1348</v>
      </c>
      <c r="C21" s="914"/>
      <c r="D21" s="914"/>
      <c r="E21" s="922"/>
      <c r="F21" s="811"/>
      <c r="G21" s="787"/>
      <c r="H21" s="788"/>
      <c r="I21" s="829"/>
      <c r="J21" s="812" t="s">
        <v>1348</v>
      </c>
      <c r="K21" s="798"/>
      <c r="L21" s="830"/>
      <c r="M21" s="798"/>
      <c r="N21" s="798"/>
      <c r="O21" s="815"/>
      <c r="P21" s="815"/>
      <c r="Q21" s="831"/>
      <c r="R21" s="831"/>
    </row>
    <row r="22" spans="1:18" s="825" customFormat="1" ht="24" customHeight="1">
      <c r="A22" s="816" t="s">
        <v>1355</v>
      </c>
      <c r="B22" s="817" t="s">
        <v>1350</v>
      </c>
      <c r="C22" s="917" t="s">
        <v>1351</v>
      </c>
      <c r="D22" s="914" t="s">
        <v>1351</v>
      </c>
      <c r="E22" s="923"/>
      <c r="F22" s="818"/>
      <c r="G22" s="819"/>
      <c r="H22" s="788"/>
      <c r="I22" s="816" t="s">
        <v>1355</v>
      </c>
      <c r="J22" s="820" t="s">
        <v>1350</v>
      </c>
      <c r="K22" s="826" t="s">
        <v>1351</v>
      </c>
      <c r="L22" s="802" t="s">
        <v>1351</v>
      </c>
      <c r="M22" s="822"/>
      <c r="N22" s="822">
        <v>0</v>
      </c>
      <c r="O22" s="823"/>
      <c r="P22" s="823" t="s">
        <v>159</v>
      </c>
      <c r="Q22" s="824"/>
      <c r="R22" s="824"/>
    </row>
    <row r="23" spans="1:18" s="825" customFormat="1" ht="24" customHeight="1">
      <c r="A23" s="816" t="s">
        <v>1356</v>
      </c>
      <c r="B23" s="817" t="s">
        <v>1353</v>
      </c>
      <c r="C23" s="917" t="s">
        <v>1351</v>
      </c>
      <c r="D23" s="914" t="s">
        <v>1351</v>
      </c>
      <c r="E23" s="923"/>
      <c r="F23" s="818"/>
      <c r="G23" s="819"/>
      <c r="H23" s="788"/>
      <c r="I23" s="816" t="s">
        <v>1356</v>
      </c>
      <c r="J23" s="820" t="s">
        <v>1353</v>
      </c>
      <c r="K23" s="833" t="s">
        <v>1351</v>
      </c>
      <c r="L23" s="802" t="s">
        <v>1351</v>
      </c>
      <c r="M23" s="822"/>
      <c r="N23" s="822" t="s">
        <v>1351</v>
      </c>
      <c r="O23" s="823"/>
      <c r="P23" s="823"/>
      <c r="Q23" s="824"/>
      <c r="R23" s="824"/>
    </row>
    <row r="24" spans="1:18" s="762" customFormat="1" ht="27" customHeight="1">
      <c r="A24" s="806">
        <v>6</v>
      </c>
      <c r="B24" s="796" t="s">
        <v>1357</v>
      </c>
      <c r="C24" s="915">
        <v>59000000</v>
      </c>
      <c r="D24" s="915">
        <v>59000000</v>
      </c>
      <c r="E24" s="920">
        <v>57325948</v>
      </c>
      <c r="F24" s="797">
        <v>6000000</v>
      </c>
      <c r="G24" s="798">
        <f>E24-D24</f>
        <v>-1674052</v>
      </c>
      <c r="H24" s="799">
        <f>E24/D24</f>
        <v>0.9716262372881356</v>
      </c>
      <c r="I24" s="806">
        <v>6</v>
      </c>
      <c r="J24" s="800" t="s">
        <v>1357</v>
      </c>
      <c r="K24" s="801">
        <v>51209937</v>
      </c>
      <c r="L24" s="802">
        <f>E24/K24</f>
        <v>1.1194301605955892</v>
      </c>
      <c r="M24" s="803">
        <v>863</v>
      </c>
      <c r="N24" s="803">
        <v>851</v>
      </c>
      <c r="O24" s="804">
        <v>5353</v>
      </c>
      <c r="P24" s="804">
        <v>4886</v>
      </c>
      <c r="Q24" s="805">
        <v>108</v>
      </c>
      <c r="R24" s="805"/>
    </row>
    <row r="25" spans="1:18" s="762" customFormat="1" ht="24" customHeight="1">
      <c r="A25" s="783"/>
      <c r="B25" s="784"/>
      <c r="C25" s="785"/>
      <c r="D25" s="785"/>
      <c r="E25" s="919"/>
      <c r="F25" s="786"/>
      <c r="G25" s="787"/>
      <c r="H25" s="788"/>
      <c r="I25" s="783"/>
      <c r="J25" s="789"/>
      <c r="K25" s="811"/>
      <c r="L25" s="834"/>
      <c r="M25" s="786"/>
      <c r="N25" s="786"/>
      <c r="O25" s="804"/>
      <c r="P25" s="804"/>
      <c r="Q25" s="835"/>
      <c r="R25" s="835"/>
    </row>
    <row r="26" spans="1:18" s="762" customFormat="1" ht="24" customHeight="1" thickBot="1">
      <c r="A26" s="836"/>
      <c r="B26" s="837"/>
      <c r="C26" s="838"/>
      <c r="D26" s="838"/>
      <c r="E26" s="839"/>
      <c r="F26" s="839"/>
      <c r="G26" s="840"/>
      <c r="H26" s="841"/>
      <c r="I26" s="836"/>
      <c r="J26" s="842"/>
      <c r="K26" s="843"/>
      <c r="L26" s="844"/>
      <c r="M26" s="839"/>
      <c r="N26" s="839"/>
      <c r="O26" s="845"/>
      <c r="P26" s="845"/>
      <c r="Q26" s="846"/>
      <c r="R26" s="846"/>
    </row>
    <row r="27" ht="18" customHeight="1"/>
    <row r="28" ht="18" customHeight="1">
      <c r="A28" s="762" t="s">
        <v>1359</v>
      </c>
    </row>
    <row r="29" spans="1:13" ht="18" customHeight="1">
      <c r="A29" s="762" t="s">
        <v>1358</v>
      </c>
      <c r="B29" s="848"/>
      <c r="C29" s="848"/>
      <c r="D29" s="849"/>
      <c r="E29" s="848"/>
      <c r="F29" s="848"/>
      <c r="G29" s="850"/>
      <c r="H29" s="848"/>
      <c r="J29" s="848"/>
      <c r="K29" s="848"/>
      <c r="L29" s="848"/>
      <c r="M29" s="848"/>
    </row>
    <row r="30" spans="1:13" ht="18" customHeight="1">
      <c r="A30" s="762"/>
      <c r="B30" s="848"/>
      <c r="C30" s="848"/>
      <c r="D30" s="849"/>
      <c r="E30" s="848"/>
      <c r="F30" s="848"/>
      <c r="G30" s="850"/>
      <c r="H30" s="848"/>
      <c r="J30" s="848"/>
      <c r="K30" s="848"/>
      <c r="L30" s="848"/>
      <c r="M30" s="848"/>
    </row>
    <row r="31" spans="1:13" ht="18" customHeight="1">
      <c r="A31" s="762"/>
      <c r="B31" s="848"/>
      <c r="C31" s="848"/>
      <c r="D31" s="849"/>
      <c r="E31" s="848"/>
      <c r="F31" s="848"/>
      <c r="G31" s="850"/>
      <c r="H31" s="848"/>
      <c r="J31" s="848"/>
      <c r="K31" s="848"/>
      <c r="L31" s="848"/>
      <c r="M31" s="848"/>
    </row>
    <row r="32" spans="2:13" ht="18" customHeight="1">
      <c r="B32" s="848"/>
      <c r="C32" s="848"/>
      <c r="D32" s="849"/>
      <c r="E32" s="848"/>
      <c r="F32" s="848"/>
      <c r="G32" s="851"/>
      <c r="H32" s="848"/>
      <c r="J32" s="848"/>
      <c r="K32" s="848"/>
      <c r="L32" s="848"/>
      <c r="M32" s="848"/>
    </row>
    <row r="33" spans="1:19" s="924" customFormat="1" ht="19.5" customHeight="1">
      <c r="A33" s="924" t="s">
        <v>678</v>
      </c>
      <c r="H33" s="925" t="s">
        <v>1572</v>
      </c>
      <c r="P33" s="925"/>
      <c r="Q33" s="1207" t="s">
        <v>1573</v>
      </c>
      <c r="R33" s="1207"/>
      <c r="S33" s="926"/>
    </row>
    <row r="34" spans="2:13" ht="18" customHeight="1">
      <c r="B34" s="1206"/>
      <c r="C34" s="1206"/>
      <c r="D34" s="1206"/>
      <c r="E34" s="848"/>
      <c r="F34" s="848"/>
      <c r="G34" s="848"/>
      <c r="H34" s="848"/>
      <c r="J34" s="1206"/>
      <c r="K34" s="1206"/>
      <c r="L34" s="1206"/>
      <c r="M34" s="1206"/>
    </row>
  </sheetData>
  <mergeCells count="21">
    <mergeCell ref="J7:J9"/>
    <mergeCell ref="O7:P8"/>
    <mergeCell ref="M7:N8"/>
    <mergeCell ref="A4:R4"/>
    <mergeCell ref="B6:N6"/>
    <mergeCell ref="A7:A9"/>
    <mergeCell ref="B7:B9"/>
    <mergeCell ref="C7:C9"/>
    <mergeCell ref="D7:D9"/>
    <mergeCell ref="E7:F7"/>
    <mergeCell ref="I7:I9"/>
    <mergeCell ref="B34:D34"/>
    <mergeCell ref="J34:M34"/>
    <mergeCell ref="Q33:R33"/>
    <mergeCell ref="Q7:Q9"/>
    <mergeCell ref="R7:R9"/>
    <mergeCell ref="E8:E9"/>
    <mergeCell ref="F8:F9"/>
    <mergeCell ref="K7:K9"/>
    <mergeCell ref="L7:L9"/>
    <mergeCell ref="G7:H8"/>
  </mergeCells>
  <conditionalFormatting sqref="L21 H11">
    <cfRule type="expression" priority="1" dxfId="0" stopIfTrue="1">
      <formula>$H11&gt;0</formula>
    </cfRule>
  </conditionalFormatting>
  <conditionalFormatting sqref="L13:L20 L22:L26 K23 L11">
    <cfRule type="expression" priority="2" dxfId="0" stopIfTrue="1">
      <formula>$K11&gt;0</formula>
    </cfRule>
  </conditionalFormatting>
  <conditionalFormatting sqref="K24:K26 K13:K15 K21:K22 K17:K19 H25 H17 H21 D25 D17 D21">
    <cfRule type="cellIs" priority="3" dxfId="1" operator="equal" stopIfTrue="1">
      <formula>0</formula>
    </cfRule>
  </conditionalFormatting>
  <conditionalFormatting sqref="M16:N16 Q20:R20 K20 M20:N20 Q16:R16 K16 Q11:R11 J11:K11 C11:F11 C16:F16 C20:H20 M11:N11">
    <cfRule type="expression" priority="4" dxfId="0" stopIfTrue="1">
      <formula>C11&gt;0</formula>
    </cfRule>
  </conditionalFormatting>
  <conditionalFormatting sqref="G11">
    <cfRule type="cellIs" priority="5" dxfId="0" operator="greaterThanOrEqual" stopIfTrue="1">
      <formula>0</formula>
    </cfRule>
    <cfRule type="cellIs" priority="6" dxfId="2" operator="lessThan" stopIfTrue="1">
      <formula>0</formula>
    </cfRule>
  </conditionalFormatting>
  <conditionalFormatting sqref="D14">
    <cfRule type="cellIs" priority="7" dxfId="1" operator="lessThan" stopIfTrue="1">
      <formula>0</formula>
    </cfRule>
  </conditionalFormatting>
  <printOptions horizontalCentered="1"/>
  <pageMargins left="0.3937007874015748" right="0.3937007874015748" top="0.984251968503937" bottom="0.7874015748031497" header="0.7086614173228347" footer="0.5118110236220472"/>
  <pageSetup blackAndWhite="1" fitToHeight="1" fitToWidth="1" horizontalDpi="600" verticalDpi="600" orientation="landscape" paperSize="9" scale="43" r:id="rId1"/>
  <headerFooter alignWithMargins="0">
    <oddFooter>&amp;L
&amp;C&amp;18&amp;P+117
&amp;14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Z37"/>
  <sheetViews>
    <sheetView zoomScale="85" zoomScaleNormal="85" workbookViewId="0" topLeftCell="A13">
      <selection activeCell="C35" sqref="C35"/>
    </sheetView>
  </sheetViews>
  <sheetFormatPr defaultColWidth="9.00390625" defaultRowHeight="12.75"/>
  <cols>
    <col min="1" max="1" width="42.75390625" style="141" customWidth="1"/>
    <col min="2" max="2" width="18.875" style="141" customWidth="1"/>
    <col min="3" max="3" width="19.25390625" style="141" customWidth="1"/>
    <col min="4" max="4" width="19.875" style="141" customWidth="1"/>
    <col min="5" max="5" width="20.00390625" style="141" customWidth="1"/>
    <col min="6" max="6" width="19.375" style="141" customWidth="1"/>
    <col min="7" max="7" width="18.375" style="141" customWidth="1"/>
    <col min="8" max="12" width="13.875" style="141" customWidth="1"/>
    <col min="13" max="13" width="2.75390625" style="141" customWidth="1"/>
    <col min="14" max="14" width="10.75390625" style="141" customWidth="1"/>
    <col min="15" max="16384" width="8.875" style="141" customWidth="1"/>
  </cols>
  <sheetData>
    <row r="2" spans="1:26" s="855" customFormat="1" ht="24.75" customHeight="1">
      <c r="A2" s="854" t="s">
        <v>1543</v>
      </c>
      <c r="K2" s="1248" t="s">
        <v>1384</v>
      </c>
      <c r="L2" s="1248"/>
      <c r="Z2" s="856"/>
    </row>
    <row r="3" spans="2:6" ht="23.25" customHeight="1">
      <c r="B3" s="142"/>
      <c r="C3" s="142"/>
      <c r="D3" s="142"/>
      <c r="E3" s="142"/>
      <c r="F3" s="142"/>
    </row>
    <row r="4" spans="1:20" s="858" customFormat="1" ht="27.75" customHeight="1">
      <c r="A4" s="1249" t="s">
        <v>1360</v>
      </c>
      <c r="B4" s="1249"/>
      <c r="C4" s="1249"/>
      <c r="D4" s="1249"/>
      <c r="E4" s="1249"/>
      <c r="F4" s="1249"/>
      <c r="G4" s="1249"/>
      <c r="H4" s="1249"/>
      <c r="I4" s="1249"/>
      <c r="J4" s="1249"/>
      <c r="K4" s="1249"/>
      <c r="L4" s="1249"/>
      <c r="M4" s="857"/>
      <c r="N4" s="857"/>
      <c r="O4" s="857"/>
      <c r="P4" s="857"/>
      <c r="Q4" s="857"/>
      <c r="R4" s="857"/>
      <c r="S4" s="857"/>
      <c r="T4" s="857"/>
    </row>
    <row r="5" spans="1:20" ht="18.75" customHeight="1">
      <c r="A5" s="703"/>
      <c r="B5" s="703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859"/>
      <c r="N5" s="859"/>
      <c r="O5" s="859"/>
      <c r="P5" s="859"/>
      <c r="Q5" s="859"/>
      <c r="R5" s="859"/>
      <c r="S5" s="859"/>
      <c r="T5" s="859"/>
    </row>
    <row r="6" spans="1:12" ht="18.75" customHeight="1" thickBot="1">
      <c r="A6" s="860" t="s">
        <v>1361</v>
      </c>
      <c r="B6" s="147"/>
      <c r="C6" s="147"/>
      <c r="D6" s="147"/>
      <c r="L6" s="861" t="s">
        <v>2061</v>
      </c>
    </row>
    <row r="7" spans="1:12" s="862" customFormat="1" ht="64.5" customHeight="1">
      <c r="A7" s="1250" t="s">
        <v>2062</v>
      </c>
      <c r="B7" s="1245" t="s">
        <v>7</v>
      </c>
      <c r="C7" s="1245" t="s">
        <v>8</v>
      </c>
      <c r="D7" s="1245" t="s">
        <v>1385</v>
      </c>
      <c r="E7" s="1245" t="s">
        <v>1386</v>
      </c>
      <c r="F7" s="1245" t="s">
        <v>1387</v>
      </c>
      <c r="G7" s="1245" t="s">
        <v>1362</v>
      </c>
      <c r="H7" s="1245" t="s">
        <v>1363</v>
      </c>
      <c r="I7" s="1245" t="s">
        <v>1364</v>
      </c>
      <c r="J7" s="1245" t="s">
        <v>1365</v>
      </c>
      <c r="K7" s="1245" t="s">
        <v>1366</v>
      </c>
      <c r="L7" s="1245" t="s">
        <v>1367</v>
      </c>
    </row>
    <row r="8" spans="1:12" s="862" customFormat="1" ht="31.5" customHeight="1" thickBot="1">
      <c r="A8" s="1251"/>
      <c r="B8" s="1252"/>
      <c r="C8" s="1246"/>
      <c r="D8" s="1246"/>
      <c r="E8" s="1246"/>
      <c r="F8" s="1246"/>
      <c r="G8" s="1246"/>
      <c r="H8" s="1246"/>
      <c r="I8" s="1246"/>
      <c r="J8" s="1246"/>
      <c r="K8" s="1246"/>
      <c r="L8" s="1246"/>
    </row>
    <row r="9" spans="1:12" s="867" customFormat="1" ht="13.5" customHeight="1" thickBot="1">
      <c r="A9" s="863"/>
      <c r="B9" s="864">
        <v>1</v>
      </c>
      <c r="C9" s="865">
        <v>2</v>
      </c>
      <c r="D9" s="864">
        <v>3</v>
      </c>
      <c r="E9" s="865">
        <v>4</v>
      </c>
      <c r="F9" s="864" t="s">
        <v>1368</v>
      </c>
      <c r="G9" s="866" t="s">
        <v>1369</v>
      </c>
      <c r="H9" s="866" t="s">
        <v>1370</v>
      </c>
      <c r="I9" s="866" t="s">
        <v>1336</v>
      </c>
      <c r="J9" s="866" t="s">
        <v>1337</v>
      </c>
      <c r="K9" s="866" t="s">
        <v>1338</v>
      </c>
      <c r="L9" s="866" t="s">
        <v>1339</v>
      </c>
    </row>
    <row r="10" spans="1:12" s="148" customFormat="1" ht="28.5" customHeight="1">
      <c r="A10" s="868" t="s">
        <v>1371</v>
      </c>
      <c r="B10" s="869">
        <f aca="true" t="shared" si="0" ref="B10:G10">SUM(B13:B16)</f>
        <v>3232556000</v>
      </c>
      <c r="C10" s="869">
        <f t="shared" si="0"/>
        <v>3982052400</v>
      </c>
      <c r="D10" s="869">
        <f t="shared" si="0"/>
        <v>3833894877</v>
      </c>
      <c r="E10" s="869">
        <f t="shared" si="0"/>
        <v>71923980</v>
      </c>
      <c r="F10" s="869">
        <f t="shared" si="0"/>
        <v>3761970897</v>
      </c>
      <c r="G10" s="870">
        <f t="shared" si="0"/>
        <v>2809404893</v>
      </c>
      <c r="H10" s="871">
        <f>+F10/G10</f>
        <v>1.339063267944554</v>
      </c>
      <c r="I10" s="870">
        <f>SUM(I13:I16)</f>
        <v>30227</v>
      </c>
      <c r="J10" s="870">
        <f>SUM(J13:J16)</f>
        <v>24951</v>
      </c>
      <c r="K10" s="870"/>
      <c r="L10" s="872"/>
    </row>
    <row r="11" spans="1:12" ht="24" customHeight="1">
      <c r="A11" s="873" t="s">
        <v>1372</v>
      </c>
      <c r="B11" s="874"/>
      <c r="C11" s="874"/>
      <c r="D11" s="874"/>
      <c r="E11" s="874"/>
      <c r="F11" s="874"/>
      <c r="G11" s="875"/>
      <c r="H11" s="876"/>
      <c r="I11" s="875"/>
      <c r="J11" s="877"/>
      <c r="K11" s="875"/>
      <c r="L11" s="874"/>
    </row>
    <row r="12" spans="1:12" ht="24" customHeight="1">
      <c r="A12" s="873" t="s">
        <v>1343</v>
      </c>
      <c r="B12" s="874"/>
      <c r="C12" s="874"/>
      <c r="D12" s="874"/>
      <c r="E12" s="874"/>
      <c r="F12" s="874"/>
      <c r="G12" s="875"/>
      <c r="H12" s="876"/>
      <c r="I12" s="875"/>
      <c r="J12" s="877"/>
      <c r="K12" s="875"/>
      <c r="L12" s="874"/>
    </row>
    <row r="13" spans="1:12" ht="27.75" customHeight="1">
      <c r="A13" s="873" t="s">
        <v>1373</v>
      </c>
      <c r="B13" s="874">
        <v>2427980000</v>
      </c>
      <c r="C13" s="874">
        <v>2818098000</v>
      </c>
      <c r="D13" s="874">
        <v>2825560165</v>
      </c>
      <c r="E13" s="874">
        <v>12500000</v>
      </c>
      <c r="F13" s="874">
        <f>D13-E13</f>
        <v>2813060165</v>
      </c>
      <c r="G13" s="875">
        <v>2167937032</v>
      </c>
      <c r="H13" s="878">
        <f>+F13/G13</f>
        <v>1.2975746635984398</v>
      </c>
      <c r="I13" s="875">
        <v>25263</v>
      </c>
      <c r="J13" s="877">
        <v>20742</v>
      </c>
      <c r="K13" s="875">
        <v>9467</v>
      </c>
      <c r="L13" s="874">
        <v>8827</v>
      </c>
    </row>
    <row r="14" spans="1:12" ht="27.75" customHeight="1">
      <c r="A14" s="873" t="s">
        <v>1374</v>
      </c>
      <c r="B14" s="874">
        <v>1500000</v>
      </c>
      <c r="C14" s="874">
        <v>162000</v>
      </c>
      <c r="D14" s="874">
        <v>161614</v>
      </c>
      <c r="E14" s="874">
        <v>0</v>
      </c>
      <c r="F14" s="874">
        <f>D14-E14</f>
        <v>161614</v>
      </c>
      <c r="G14" s="875">
        <v>1610832</v>
      </c>
      <c r="H14" s="878">
        <f>+F14/G14</f>
        <v>0.1003295191553185</v>
      </c>
      <c r="I14" s="875">
        <v>0</v>
      </c>
      <c r="J14" s="877">
        <v>275</v>
      </c>
      <c r="K14" s="875">
        <v>0</v>
      </c>
      <c r="L14" s="874">
        <v>3000</v>
      </c>
    </row>
    <row r="15" spans="1:12" ht="27.75" customHeight="1">
      <c r="A15" s="873" t="s">
        <v>1375</v>
      </c>
      <c r="B15" s="874">
        <v>1634550</v>
      </c>
      <c r="C15" s="874">
        <v>5029150</v>
      </c>
      <c r="D15" s="874">
        <v>4875255</v>
      </c>
      <c r="E15" s="874">
        <v>426</v>
      </c>
      <c r="F15" s="874">
        <f>D15-E15</f>
        <v>4874829</v>
      </c>
      <c r="G15" s="875">
        <v>7255214</v>
      </c>
      <c r="H15" s="878">
        <f>+F15/G15</f>
        <v>0.671906989924763</v>
      </c>
      <c r="I15" s="875">
        <v>37</v>
      </c>
      <c r="J15" s="877">
        <v>49</v>
      </c>
      <c r="K15" s="875">
        <v>131757</v>
      </c>
      <c r="L15" s="874">
        <v>182537</v>
      </c>
    </row>
    <row r="16" spans="1:12" ht="27.75" customHeight="1">
      <c r="A16" s="873" t="s">
        <v>1376</v>
      </c>
      <c r="B16" s="874">
        <v>801441450</v>
      </c>
      <c r="C16" s="874">
        <v>1158763250</v>
      </c>
      <c r="D16" s="874">
        <v>1003297843</v>
      </c>
      <c r="E16" s="874">
        <v>59423554</v>
      </c>
      <c r="F16" s="874">
        <f>D16-E16</f>
        <v>943874289</v>
      </c>
      <c r="G16" s="875">
        <v>632601815</v>
      </c>
      <c r="H16" s="878">
        <f>+F16/G16</f>
        <v>1.4920511870488389</v>
      </c>
      <c r="I16" s="875">
        <v>4927</v>
      </c>
      <c r="J16" s="877">
        <v>3885</v>
      </c>
      <c r="K16" s="875">
        <v>203633</v>
      </c>
      <c r="L16" s="874">
        <v>162832</v>
      </c>
    </row>
    <row r="17" spans="1:12" ht="24" customHeight="1" thickBot="1">
      <c r="A17" s="873"/>
      <c r="B17" s="874"/>
      <c r="C17" s="874"/>
      <c r="D17" s="874"/>
      <c r="E17" s="874"/>
      <c r="F17" s="874"/>
      <c r="G17" s="875"/>
      <c r="H17" s="877"/>
      <c r="I17" s="875"/>
      <c r="J17" s="877"/>
      <c r="K17" s="875"/>
      <c r="L17" s="874"/>
    </row>
    <row r="18" spans="1:12" s="148" customFormat="1" ht="57" customHeight="1">
      <c r="A18" s="879" t="s">
        <v>1377</v>
      </c>
      <c r="B18" s="870">
        <f>SUM(B21:B25)</f>
        <v>89168000</v>
      </c>
      <c r="C18" s="870">
        <f>SUM(C21:C25)</f>
        <v>113627600</v>
      </c>
      <c r="D18" s="870">
        <f>SUM(D21:D24)</f>
        <v>117500626</v>
      </c>
      <c r="E18" s="870">
        <f>SUM(E21:E25)</f>
        <v>7017855</v>
      </c>
      <c r="F18" s="870">
        <f>SUM(F21:F25)</f>
        <v>110482771</v>
      </c>
      <c r="G18" s="870">
        <f>SUM(G21:G25)</f>
        <v>122538653</v>
      </c>
      <c r="H18" s="871">
        <f>+F18/G18</f>
        <v>0.9016156804008609</v>
      </c>
      <c r="I18" s="880" t="s">
        <v>159</v>
      </c>
      <c r="J18" s="881" t="s">
        <v>159</v>
      </c>
      <c r="K18" s="880" t="s">
        <v>159</v>
      </c>
      <c r="L18" s="882" t="s">
        <v>159</v>
      </c>
    </row>
    <row r="19" spans="1:12" ht="24.75" customHeight="1" thickBot="1">
      <c r="A19" s="883" t="s">
        <v>1378</v>
      </c>
      <c r="B19" s="884"/>
      <c r="C19" s="884"/>
      <c r="D19" s="884"/>
      <c r="E19" s="884"/>
      <c r="F19" s="884"/>
      <c r="G19" s="884"/>
      <c r="H19" s="885"/>
      <c r="I19" s="886"/>
      <c r="J19" s="887"/>
      <c r="K19" s="884"/>
      <c r="L19" s="888"/>
    </row>
    <row r="20" spans="1:12" ht="24.75" customHeight="1">
      <c r="A20" s="873" t="s">
        <v>1343</v>
      </c>
      <c r="B20" s="874"/>
      <c r="C20" s="874"/>
      <c r="D20" s="874"/>
      <c r="E20" s="874"/>
      <c r="F20" s="874"/>
      <c r="G20" s="889"/>
      <c r="H20" s="890"/>
      <c r="I20" s="891" t="s">
        <v>159</v>
      </c>
      <c r="J20" s="892" t="s">
        <v>159</v>
      </c>
      <c r="K20" s="893" t="s">
        <v>159</v>
      </c>
      <c r="L20" s="891" t="s">
        <v>159</v>
      </c>
    </row>
    <row r="21" spans="1:12" ht="27.75" customHeight="1">
      <c r="A21" s="873" t="s">
        <v>1379</v>
      </c>
      <c r="B21" s="874">
        <v>63679000</v>
      </c>
      <c r="C21" s="874">
        <v>73347224</v>
      </c>
      <c r="D21" s="874">
        <v>76898425</v>
      </c>
      <c r="E21" s="874">
        <v>6533716</v>
      </c>
      <c r="F21" s="874">
        <f>D21-E21</f>
        <v>70364709</v>
      </c>
      <c r="G21" s="889">
        <v>83784695</v>
      </c>
      <c r="H21" s="894">
        <f>+F21/G21</f>
        <v>0.8398277155511517</v>
      </c>
      <c r="I21" s="891" t="s">
        <v>159</v>
      </c>
      <c r="J21" s="892" t="s">
        <v>159</v>
      </c>
      <c r="K21" s="893" t="s">
        <v>159</v>
      </c>
      <c r="L21" s="891" t="s">
        <v>159</v>
      </c>
    </row>
    <row r="22" spans="1:12" ht="27.75" customHeight="1">
      <c r="A22" s="873" t="s">
        <v>1380</v>
      </c>
      <c r="B22" s="874">
        <v>25489000</v>
      </c>
      <c r="C22" s="874">
        <v>40260376</v>
      </c>
      <c r="D22" s="874">
        <v>40595869</v>
      </c>
      <c r="E22" s="874">
        <v>484139</v>
      </c>
      <c r="F22" s="874">
        <f>D22-E22</f>
        <v>40111730</v>
      </c>
      <c r="G22" s="889">
        <v>38143282</v>
      </c>
      <c r="H22" s="894">
        <f>+F22/G22</f>
        <v>1.0516066761114053</v>
      </c>
      <c r="I22" s="891" t="s">
        <v>159</v>
      </c>
      <c r="J22" s="892" t="s">
        <v>159</v>
      </c>
      <c r="K22" s="893" t="s">
        <v>159</v>
      </c>
      <c r="L22" s="891" t="s">
        <v>159</v>
      </c>
    </row>
    <row r="23" spans="1:12" ht="27.75" customHeight="1">
      <c r="A23" s="873" t="s">
        <v>1381</v>
      </c>
      <c r="B23" s="874">
        <v>0</v>
      </c>
      <c r="C23" s="874">
        <v>0</v>
      </c>
      <c r="D23" s="874">
        <v>0</v>
      </c>
      <c r="E23" s="874">
        <f>+C23+D23</f>
        <v>0</v>
      </c>
      <c r="F23" s="874">
        <v>0</v>
      </c>
      <c r="G23" s="889">
        <v>0</v>
      </c>
      <c r="H23" s="894">
        <v>0</v>
      </c>
      <c r="I23" s="891" t="s">
        <v>159</v>
      </c>
      <c r="J23" s="892" t="s">
        <v>159</v>
      </c>
      <c r="K23" s="893" t="s">
        <v>159</v>
      </c>
      <c r="L23" s="891" t="s">
        <v>159</v>
      </c>
    </row>
    <row r="24" spans="1:12" ht="27.75" customHeight="1">
      <c r="A24" s="873" t="s">
        <v>1382</v>
      </c>
      <c r="B24" s="874">
        <v>0</v>
      </c>
      <c r="C24" s="874">
        <v>20000</v>
      </c>
      <c r="D24" s="874">
        <v>6332</v>
      </c>
      <c r="E24" s="874">
        <v>0</v>
      </c>
      <c r="F24" s="874">
        <v>6332</v>
      </c>
      <c r="G24" s="889">
        <v>610676</v>
      </c>
      <c r="H24" s="894">
        <f>+F24/G24</f>
        <v>0.010368837157510693</v>
      </c>
      <c r="I24" s="891" t="s">
        <v>159</v>
      </c>
      <c r="J24" s="892" t="s">
        <v>159</v>
      </c>
      <c r="K24" s="893" t="s">
        <v>159</v>
      </c>
      <c r="L24" s="891" t="s">
        <v>159</v>
      </c>
    </row>
    <row r="25" spans="1:12" ht="27.75" customHeight="1">
      <c r="A25" s="873" t="s">
        <v>1383</v>
      </c>
      <c r="B25" s="874">
        <v>0</v>
      </c>
      <c r="C25" s="874"/>
      <c r="D25" s="874">
        <v>0</v>
      </c>
      <c r="E25" s="874">
        <f>+C25+D25</f>
        <v>0</v>
      </c>
      <c r="F25" s="874"/>
      <c r="G25" s="889">
        <v>0</v>
      </c>
      <c r="H25" s="894">
        <v>0</v>
      </c>
      <c r="I25" s="891" t="s">
        <v>159</v>
      </c>
      <c r="J25" s="892" t="s">
        <v>159</v>
      </c>
      <c r="K25" s="893" t="s">
        <v>159</v>
      </c>
      <c r="L25" s="891" t="s">
        <v>159</v>
      </c>
    </row>
    <row r="26" spans="1:12" ht="24.75" customHeight="1" thickBot="1">
      <c r="A26" s="868"/>
      <c r="B26" s="895"/>
      <c r="C26" s="895"/>
      <c r="D26" s="895"/>
      <c r="E26" s="895"/>
      <c r="F26" s="895"/>
      <c r="G26" s="896"/>
      <c r="H26" s="897"/>
      <c r="I26" s="898"/>
      <c r="J26" s="899"/>
      <c r="K26" s="900"/>
      <c r="L26" s="898"/>
    </row>
    <row r="27" spans="1:12" s="147" customFormat="1" ht="31.5" customHeight="1" thickBot="1">
      <c r="A27" s="901" t="s">
        <v>264</v>
      </c>
      <c r="B27" s="902">
        <f aca="true" t="shared" si="1" ref="B27:G27">+B10+B18</f>
        <v>3321724000</v>
      </c>
      <c r="C27" s="902">
        <f t="shared" si="1"/>
        <v>4095680000</v>
      </c>
      <c r="D27" s="902">
        <f t="shared" si="1"/>
        <v>3951395503</v>
      </c>
      <c r="E27" s="902">
        <f t="shared" si="1"/>
        <v>78941835</v>
      </c>
      <c r="F27" s="902">
        <f t="shared" si="1"/>
        <v>3872453668</v>
      </c>
      <c r="G27" s="903">
        <f t="shared" si="1"/>
        <v>2931943546</v>
      </c>
      <c r="H27" s="904">
        <f>+F27/G27</f>
        <v>1.3207804336079805</v>
      </c>
      <c r="I27" s="902"/>
      <c r="J27" s="902"/>
      <c r="K27" s="902"/>
      <c r="L27" s="902"/>
    </row>
    <row r="28" spans="7:10" ht="18" customHeight="1">
      <c r="G28" s="682"/>
      <c r="H28" s="682"/>
      <c r="I28" s="682"/>
      <c r="J28" s="682"/>
    </row>
    <row r="29" spans="1:19" ht="18" customHeight="1">
      <c r="A29" s="147"/>
      <c r="S29" s="905"/>
    </row>
    <row r="30" spans="1:19" s="428" customFormat="1" ht="19.5" customHeight="1">
      <c r="A30" s="428" t="s">
        <v>678</v>
      </c>
      <c r="E30" s="582" t="s">
        <v>1572</v>
      </c>
      <c r="J30" s="1247" t="s">
        <v>1573</v>
      </c>
      <c r="K30" s="1247"/>
      <c r="L30" s="1247"/>
      <c r="P30" s="582"/>
      <c r="S30" s="853"/>
    </row>
    <row r="31" spans="1:19" ht="18" customHeight="1">
      <c r="A31" s="147"/>
      <c r="S31" s="905"/>
    </row>
    <row r="32" spans="1:19" ht="15">
      <c r="A32" s="682"/>
      <c r="S32" s="905"/>
    </row>
    <row r="33" spans="1:19" ht="15">
      <c r="A33" s="906"/>
      <c r="S33" s="905"/>
    </row>
    <row r="34" spans="1:19" ht="15">
      <c r="A34" s="682"/>
      <c r="D34" s="436"/>
      <c r="S34" s="905"/>
    </row>
    <row r="35" spans="4:19" ht="15">
      <c r="D35" s="436"/>
      <c r="S35" s="905"/>
    </row>
    <row r="37" spans="4:6" ht="15">
      <c r="D37" s="436"/>
      <c r="F37" s="436"/>
    </row>
  </sheetData>
  <mergeCells count="15">
    <mergeCell ref="J30:L30"/>
    <mergeCell ref="K2:L2"/>
    <mergeCell ref="A4:L4"/>
    <mergeCell ref="A7:A8"/>
    <mergeCell ref="B7:B8"/>
    <mergeCell ref="C7:C8"/>
    <mergeCell ref="D7:D8"/>
    <mergeCell ref="E7:E8"/>
    <mergeCell ref="F7:F8"/>
    <mergeCell ref="G7:G8"/>
    <mergeCell ref="L7:L8"/>
    <mergeCell ref="H7:H8"/>
    <mergeCell ref="I7:I8"/>
    <mergeCell ref="J7:J8"/>
    <mergeCell ref="K7:K8"/>
  </mergeCells>
  <printOptions horizontalCentered="1"/>
  <pageMargins left="0.5905511811023623" right="0.5905511811023623" top="0.984251968503937" bottom="0.7874015748031497" header="0.7086614173228347" footer="0.31496062992125984"/>
  <pageSetup blackAndWhite="1" horizontalDpi="600" verticalDpi="600" orientation="landscape" paperSize="9" scale="55" r:id="rId1"/>
  <headerFooter alignWithMargins="0">
    <oddFooter>&amp;C&amp;14&amp;P+118&amp;16
&amp;10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8"/>
  <sheetViews>
    <sheetView tabSelected="1" zoomScale="85" zoomScaleNormal="85" workbookViewId="0" topLeftCell="A1">
      <selection activeCell="D28" sqref="D28"/>
    </sheetView>
  </sheetViews>
  <sheetFormatPr defaultColWidth="9.00390625" defaultRowHeight="12.75"/>
  <cols>
    <col min="1" max="1" width="15.625" style="585" customWidth="1"/>
    <col min="2" max="2" width="44.75390625" style="584" customWidth="1"/>
    <col min="3" max="4" width="13.375" style="583" customWidth="1"/>
    <col min="5" max="5" width="11.625" style="583" customWidth="1"/>
    <col min="6" max="6" width="18.75390625" style="583" customWidth="1"/>
    <col min="7" max="7" width="13.875" style="583" customWidth="1"/>
    <col min="8" max="8" width="16.875" style="583" customWidth="1"/>
    <col min="9" max="12" width="13.875" style="583" customWidth="1"/>
    <col min="13" max="16384" width="8.875" style="585" customWidth="1"/>
  </cols>
  <sheetData>
    <row r="2" spans="1:12" s="427" customFormat="1" ht="19.5" customHeight="1">
      <c r="A2" s="426" t="s">
        <v>1543</v>
      </c>
      <c r="B2" s="426"/>
      <c r="C2" s="426"/>
      <c r="D2" s="426"/>
      <c r="E2" s="426"/>
      <c r="F2" s="426"/>
      <c r="G2" s="426"/>
      <c r="H2" s="426"/>
      <c r="I2" s="426"/>
      <c r="J2" s="426"/>
      <c r="K2" s="1254" t="s">
        <v>681</v>
      </c>
      <c r="L2" s="1254"/>
    </row>
    <row r="3" ht="15">
      <c r="A3" s="583"/>
    </row>
    <row r="4" spans="1:12" ht="20.25">
      <c r="A4" s="586" t="s">
        <v>4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</row>
    <row r="5" spans="3:12" ht="16.5" thickBot="1">
      <c r="C5" s="587"/>
      <c r="D5" s="587"/>
      <c r="E5" s="587"/>
      <c r="L5" s="583" t="s">
        <v>1545</v>
      </c>
    </row>
    <row r="6" spans="1:12" ht="85.5" customHeight="1" thickBot="1">
      <c r="A6" s="588" t="s">
        <v>5</v>
      </c>
      <c r="B6" s="589" t="s">
        <v>6</v>
      </c>
      <c r="C6" s="907" t="s">
        <v>7</v>
      </c>
      <c r="D6" s="591" t="s">
        <v>8</v>
      </c>
      <c r="E6" s="590" t="s">
        <v>9</v>
      </c>
      <c r="F6" s="591" t="s">
        <v>10</v>
      </c>
      <c r="G6" s="590" t="s">
        <v>11</v>
      </c>
      <c r="H6" s="590" t="s">
        <v>12</v>
      </c>
      <c r="I6" s="590" t="s">
        <v>13</v>
      </c>
      <c r="J6" s="590" t="s">
        <v>14</v>
      </c>
      <c r="K6" s="590" t="s">
        <v>15</v>
      </c>
      <c r="L6" s="590" t="s">
        <v>16</v>
      </c>
    </row>
    <row r="7" spans="1:12" ht="15">
      <c r="A7" s="592"/>
      <c r="B7" s="593"/>
      <c r="C7" s="594">
        <v>1</v>
      </c>
      <c r="D7" s="595">
        <v>2</v>
      </c>
      <c r="E7" s="594">
        <v>3</v>
      </c>
      <c r="F7" s="595">
        <v>4</v>
      </c>
      <c r="G7" s="594">
        <v>5</v>
      </c>
      <c r="H7" s="594">
        <v>6</v>
      </c>
      <c r="I7" s="594">
        <v>7</v>
      </c>
      <c r="J7" s="594">
        <v>8</v>
      </c>
      <c r="K7" s="594">
        <v>9</v>
      </c>
      <c r="L7" s="594">
        <v>10</v>
      </c>
    </row>
    <row r="8" spans="1:12" ht="25.5">
      <c r="A8" s="596" t="s">
        <v>17</v>
      </c>
      <c r="B8" s="696" t="s">
        <v>18</v>
      </c>
      <c r="C8" s="597">
        <v>66989</v>
      </c>
      <c r="D8" s="598">
        <v>85233</v>
      </c>
      <c r="E8" s="597">
        <v>0</v>
      </c>
      <c r="F8" s="598">
        <f aca="true" t="shared" si="0" ref="F8:F19">+D8+E8</f>
        <v>85233</v>
      </c>
      <c r="G8" s="597">
        <v>85065</v>
      </c>
      <c r="H8" s="597">
        <v>168</v>
      </c>
      <c r="I8" s="597">
        <f>G8-D8</f>
        <v>-168</v>
      </c>
      <c r="J8" s="597">
        <f>G8-F8</f>
        <v>-168</v>
      </c>
      <c r="K8" s="597">
        <v>0</v>
      </c>
      <c r="L8" s="599" t="s">
        <v>19</v>
      </c>
    </row>
    <row r="9" spans="1:12" s="687" customFormat="1" ht="20.25" customHeight="1">
      <c r="A9" s="683" t="s">
        <v>20</v>
      </c>
      <c r="B9" s="697" t="s">
        <v>21</v>
      </c>
      <c r="C9" s="684">
        <v>60000</v>
      </c>
      <c r="D9" s="685">
        <v>50967</v>
      </c>
      <c r="E9" s="684">
        <v>0</v>
      </c>
      <c r="F9" s="685">
        <f t="shared" si="0"/>
        <v>50967</v>
      </c>
      <c r="G9" s="684">
        <v>48120</v>
      </c>
      <c r="H9" s="684">
        <v>2847</v>
      </c>
      <c r="I9" s="684">
        <f aca="true" t="shared" si="1" ref="I9:I20">G9-D9</f>
        <v>-2847</v>
      </c>
      <c r="J9" s="684">
        <f aca="true" t="shared" si="2" ref="J9:J20">G9-F9</f>
        <v>-2847</v>
      </c>
      <c r="K9" s="684">
        <v>0</v>
      </c>
      <c r="L9" s="686" t="s">
        <v>19</v>
      </c>
    </row>
    <row r="10" spans="1:12" ht="38.25">
      <c r="A10" s="596" t="s">
        <v>22</v>
      </c>
      <c r="B10" s="696" t="s">
        <v>23</v>
      </c>
      <c r="C10" s="597">
        <v>0</v>
      </c>
      <c r="D10" s="598">
        <v>4262</v>
      </c>
      <c r="E10" s="597">
        <v>0</v>
      </c>
      <c r="F10" s="598">
        <f t="shared" si="0"/>
        <v>4262</v>
      </c>
      <c r="G10" s="597">
        <v>2279</v>
      </c>
      <c r="H10" s="597">
        <v>1983</v>
      </c>
      <c r="I10" s="597">
        <f t="shared" si="1"/>
        <v>-1983</v>
      </c>
      <c r="J10" s="597">
        <f t="shared" si="2"/>
        <v>-1983</v>
      </c>
      <c r="K10" s="597">
        <v>0</v>
      </c>
      <c r="L10" s="599" t="s">
        <v>19</v>
      </c>
    </row>
    <row r="11" spans="1:12" ht="25.5">
      <c r="A11" s="596" t="s">
        <v>24</v>
      </c>
      <c r="B11" s="696" t="s">
        <v>25</v>
      </c>
      <c r="C11" s="597">
        <v>0</v>
      </c>
      <c r="D11" s="598">
        <v>672601</v>
      </c>
      <c r="E11" s="597">
        <v>0</v>
      </c>
      <c r="F11" s="598">
        <f t="shared" si="0"/>
        <v>672601</v>
      </c>
      <c r="G11" s="597">
        <v>0</v>
      </c>
      <c r="H11" s="597">
        <v>672601</v>
      </c>
      <c r="I11" s="597">
        <f t="shared" si="1"/>
        <v>-672601</v>
      </c>
      <c r="J11" s="597">
        <f t="shared" si="2"/>
        <v>-672601</v>
      </c>
      <c r="K11" s="597">
        <v>0</v>
      </c>
      <c r="L11" s="599" t="s">
        <v>19</v>
      </c>
    </row>
    <row r="12" spans="1:12" ht="25.5">
      <c r="A12" s="596">
        <v>114230</v>
      </c>
      <c r="B12" s="696" t="s">
        <v>253</v>
      </c>
      <c r="C12" s="597">
        <v>200000</v>
      </c>
      <c r="D12" s="598">
        <v>197611</v>
      </c>
      <c r="E12" s="597">
        <v>0</v>
      </c>
      <c r="F12" s="598">
        <f t="shared" si="0"/>
        <v>197611</v>
      </c>
      <c r="G12" s="597">
        <v>197581</v>
      </c>
      <c r="H12" s="597">
        <v>30</v>
      </c>
      <c r="I12" s="597">
        <f t="shared" si="1"/>
        <v>-30</v>
      </c>
      <c r="J12" s="597">
        <f t="shared" si="2"/>
        <v>-30</v>
      </c>
      <c r="K12" s="597">
        <v>199915</v>
      </c>
      <c r="L12" s="599">
        <f>+G12/K12</f>
        <v>0.98832503814121</v>
      </c>
    </row>
    <row r="13" spans="1:12" s="687" customFormat="1" ht="20.25" customHeight="1">
      <c r="A13" s="683">
        <v>114410</v>
      </c>
      <c r="B13" s="697" t="s">
        <v>254</v>
      </c>
      <c r="C13" s="684">
        <v>745676</v>
      </c>
      <c r="D13" s="685">
        <v>543946</v>
      </c>
      <c r="E13" s="684">
        <v>0</v>
      </c>
      <c r="F13" s="685">
        <f t="shared" si="0"/>
        <v>543946</v>
      </c>
      <c r="G13" s="684">
        <v>462911</v>
      </c>
      <c r="H13" s="684">
        <v>81035</v>
      </c>
      <c r="I13" s="684">
        <f t="shared" si="1"/>
        <v>-81035</v>
      </c>
      <c r="J13" s="684">
        <f t="shared" si="2"/>
        <v>-81035</v>
      </c>
      <c r="K13" s="684">
        <v>0</v>
      </c>
      <c r="L13" s="686" t="s">
        <v>19</v>
      </c>
    </row>
    <row r="14" spans="1:12" ht="25.5">
      <c r="A14" s="596">
        <v>214010</v>
      </c>
      <c r="B14" s="698" t="s">
        <v>255</v>
      </c>
      <c r="C14" s="597">
        <v>16041</v>
      </c>
      <c r="D14" s="598">
        <v>16041</v>
      </c>
      <c r="E14" s="597">
        <v>866</v>
      </c>
      <c r="F14" s="598">
        <f t="shared" si="0"/>
        <v>16907</v>
      </c>
      <c r="G14" s="597">
        <v>16907</v>
      </c>
      <c r="H14" s="597">
        <v>0</v>
      </c>
      <c r="I14" s="597">
        <f t="shared" si="1"/>
        <v>866</v>
      </c>
      <c r="J14" s="597">
        <f t="shared" si="2"/>
        <v>0</v>
      </c>
      <c r="K14" s="597">
        <v>87233</v>
      </c>
      <c r="L14" s="599">
        <f aca="true" t="shared" si="3" ref="L14:L22">+G14/K14</f>
        <v>0.19381426753636813</v>
      </c>
    </row>
    <row r="15" spans="1:12" ht="25.5">
      <c r="A15" s="596">
        <v>214020</v>
      </c>
      <c r="B15" s="698" t="s">
        <v>256</v>
      </c>
      <c r="C15" s="600">
        <v>142439</v>
      </c>
      <c r="D15" s="601">
        <v>166351</v>
      </c>
      <c r="E15" s="600">
        <v>23273</v>
      </c>
      <c r="F15" s="601">
        <f t="shared" si="0"/>
        <v>189624</v>
      </c>
      <c r="G15" s="600">
        <v>189451</v>
      </c>
      <c r="H15" s="600">
        <v>173</v>
      </c>
      <c r="I15" s="600">
        <f t="shared" si="1"/>
        <v>23100</v>
      </c>
      <c r="J15" s="600">
        <f t="shared" si="2"/>
        <v>-173</v>
      </c>
      <c r="K15" s="600">
        <v>191112</v>
      </c>
      <c r="L15" s="602">
        <f t="shared" si="3"/>
        <v>0.9913087613545983</v>
      </c>
    </row>
    <row r="16" spans="1:12" ht="25.5">
      <c r="A16" s="596">
        <v>214030</v>
      </c>
      <c r="B16" s="698" t="s">
        <v>257</v>
      </c>
      <c r="C16" s="600">
        <v>199952</v>
      </c>
      <c r="D16" s="601">
        <v>386382</v>
      </c>
      <c r="E16" s="600">
        <v>10</v>
      </c>
      <c r="F16" s="601">
        <f t="shared" si="0"/>
        <v>386392</v>
      </c>
      <c r="G16" s="600">
        <v>386175</v>
      </c>
      <c r="H16" s="600">
        <v>217</v>
      </c>
      <c r="I16" s="600">
        <f t="shared" si="1"/>
        <v>-207</v>
      </c>
      <c r="J16" s="600">
        <f t="shared" si="2"/>
        <v>-217</v>
      </c>
      <c r="K16" s="600">
        <v>277569</v>
      </c>
      <c r="L16" s="602">
        <f t="shared" si="3"/>
        <v>1.391275682803195</v>
      </c>
    </row>
    <row r="17" spans="1:12" ht="26.25" customHeight="1">
      <c r="A17" s="596">
        <v>214110</v>
      </c>
      <c r="B17" s="698" t="s">
        <v>258</v>
      </c>
      <c r="C17" s="600">
        <v>2676737</v>
      </c>
      <c r="D17" s="601">
        <v>3706617</v>
      </c>
      <c r="E17" s="600">
        <v>308478</v>
      </c>
      <c r="F17" s="601">
        <f t="shared" si="0"/>
        <v>4015095</v>
      </c>
      <c r="G17" s="600">
        <v>3560872</v>
      </c>
      <c r="H17" s="600">
        <v>567739</v>
      </c>
      <c r="I17" s="600">
        <f t="shared" si="1"/>
        <v>-145745</v>
      </c>
      <c r="J17" s="600">
        <f t="shared" si="2"/>
        <v>-454223</v>
      </c>
      <c r="K17" s="600">
        <v>3144178</v>
      </c>
      <c r="L17" s="602">
        <f t="shared" si="3"/>
        <v>1.1325287563235924</v>
      </c>
    </row>
    <row r="18" spans="1:12" ht="25.5">
      <c r="A18" s="596">
        <v>214210</v>
      </c>
      <c r="B18" s="698" t="s">
        <v>259</v>
      </c>
      <c r="C18" s="600">
        <v>1390702</v>
      </c>
      <c r="D18" s="601">
        <v>1581250</v>
      </c>
      <c r="E18" s="600">
        <v>41929</v>
      </c>
      <c r="F18" s="601">
        <f t="shared" si="0"/>
        <v>1623179</v>
      </c>
      <c r="G18" s="600">
        <v>1614352</v>
      </c>
      <c r="H18" s="600">
        <v>8827</v>
      </c>
      <c r="I18" s="600">
        <f t="shared" si="1"/>
        <v>33102</v>
      </c>
      <c r="J18" s="600">
        <f t="shared" si="2"/>
        <v>-8827</v>
      </c>
      <c r="K18" s="600">
        <v>1518136</v>
      </c>
      <c r="L18" s="602">
        <f t="shared" si="3"/>
        <v>1.0633777211000859</v>
      </c>
    </row>
    <row r="19" spans="1:12" ht="25.5">
      <c r="A19" s="596" t="s">
        <v>260</v>
      </c>
      <c r="B19" s="698" t="s">
        <v>261</v>
      </c>
      <c r="C19" s="600">
        <v>36200</v>
      </c>
      <c r="D19" s="601">
        <v>36200</v>
      </c>
      <c r="E19" s="600">
        <v>0</v>
      </c>
      <c r="F19" s="601">
        <f t="shared" si="0"/>
        <v>36200</v>
      </c>
      <c r="G19" s="600">
        <v>36005</v>
      </c>
      <c r="H19" s="600">
        <v>195</v>
      </c>
      <c r="I19" s="600">
        <f t="shared" si="1"/>
        <v>-195</v>
      </c>
      <c r="J19" s="600">
        <f t="shared" si="2"/>
        <v>-195</v>
      </c>
      <c r="K19" s="600">
        <v>13058</v>
      </c>
      <c r="L19" s="602">
        <f t="shared" si="3"/>
        <v>2.757313524276306</v>
      </c>
    </row>
    <row r="20" spans="1:12" ht="27" customHeight="1" thickBot="1">
      <c r="A20" s="596" t="s">
        <v>262</v>
      </c>
      <c r="B20" s="698" t="s">
        <v>263</v>
      </c>
      <c r="C20" s="600">
        <v>1553597</v>
      </c>
      <c r="D20" s="601">
        <v>1273469</v>
      </c>
      <c r="E20" s="600">
        <v>285215</v>
      </c>
      <c r="F20" s="601">
        <f>+D20+E20</f>
        <v>1558684</v>
      </c>
      <c r="G20" s="600">
        <v>1462622</v>
      </c>
      <c r="H20" s="600">
        <v>107421</v>
      </c>
      <c r="I20" s="600">
        <f t="shared" si="1"/>
        <v>189153</v>
      </c>
      <c r="J20" s="600">
        <f t="shared" si="2"/>
        <v>-96062</v>
      </c>
      <c r="K20" s="600">
        <v>1416681</v>
      </c>
      <c r="L20" s="602">
        <f t="shared" si="3"/>
        <v>1.032428613075209</v>
      </c>
    </row>
    <row r="21" spans="1:12" s="695" customFormat="1" ht="20.25" customHeight="1" thickBot="1">
      <c r="A21" s="692"/>
      <c r="B21" s="699" t="s">
        <v>264</v>
      </c>
      <c r="C21" s="693">
        <f>SUM(C8:C20)</f>
        <v>7088333</v>
      </c>
      <c r="D21" s="693">
        <f aca="true" t="shared" si="4" ref="D21:K21">SUM(D8:D20)</f>
        <v>8720930</v>
      </c>
      <c r="E21" s="693">
        <f t="shared" si="4"/>
        <v>659771</v>
      </c>
      <c r="F21" s="693">
        <f>SUM(F8:F20)</f>
        <v>9380701</v>
      </c>
      <c r="G21" s="693">
        <f t="shared" si="4"/>
        <v>8062340</v>
      </c>
      <c r="H21" s="693">
        <f t="shared" si="4"/>
        <v>1443236</v>
      </c>
      <c r="I21" s="693">
        <f t="shared" si="4"/>
        <v>-658590</v>
      </c>
      <c r="J21" s="693">
        <f t="shared" si="4"/>
        <v>-1318361</v>
      </c>
      <c r="K21" s="693">
        <f t="shared" si="4"/>
        <v>6847882</v>
      </c>
      <c r="L21" s="694">
        <f t="shared" si="3"/>
        <v>1.177347974161938</v>
      </c>
    </row>
    <row r="22" spans="1:12" ht="15.75">
      <c r="A22" s="603"/>
      <c r="B22" s="700" t="s">
        <v>265</v>
      </c>
      <c r="C22" s="604">
        <v>0</v>
      </c>
      <c r="D22" s="605">
        <v>21000</v>
      </c>
      <c r="E22" s="604">
        <v>0</v>
      </c>
      <c r="F22" s="606">
        <f>+D22+E22</f>
        <v>21000</v>
      </c>
      <c r="G22" s="604">
        <v>20987</v>
      </c>
      <c r="H22" s="604">
        <v>13</v>
      </c>
      <c r="I22" s="604">
        <f>G22-D22</f>
        <v>-13</v>
      </c>
      <c r="J22" s="604">
        <f>G22-F22</f>
        <v>-13</v>
      </c>
      <c r="K22" s="604">
        <v>17497</v>
      </c>
      <c r="L22" s="607">
        <f t="shared" si="3"/>
        <v>1.1994627650454364</v>
      </c>
    </row>
    <row r="23" spans="1:12" ht="16.5" thickBot="1">
      <c r="A23" s="608"/>
      <c r="B23" s="701" t="s">
        <v>266</v>
      </c>
      <c r="C23" s="609">
        <v>0</v>
      </c>
      <c r="D23" s="610">
        <v>0</v>
      </c>
      <c r="E23" s="609">
        <v>0</v>
      </c>
      <c r="F23" s="611">
        <f>+D23+E23</f>
        <v>0</v>
      </c>
      <c r="G23" s="609">
        <v>0</v>
      </c>
      <c r="H23" s="609">
        <v>0</v>
      </c>
      <c r="I23" s="609">
        <f>G23-D23</f>
        <v>0</v>
      </c>
      <c r="J23" s="609">
        <f>G23-F23</f>
        <v>0</v>
      </c>
      <c r="K23" s="609">
        <v>0</v>
      </c>
      <c r="L23" s="609"/>
    </row>
    <row r="24" spans="1:12" s="691" customFormat="1" ht="20.25" customHeight="1" thickBot="1">
      <c r="A24" s="688"/>
      <c r="B24" s="702" t="s">
        <v>267</v>
      </c>
      <c r="C24" s="689">
        <f aca="true" t="shared" si="5" ref="C24:J24">+C21+C22-C23</f>
        <v>7088333</v>
      </c>
      <c r="D24" s="689">
        <f t="shared" si="5"/>
        <v>8741930</v>
      </c>
      <c r="E24" s="689">
        <f t="shared" si="5"/>
        <v>659771</v>
      </c>
      <c r="F24" s="689">
        <f t="shared" si="5"/>
        <v>9401701</v>
      </c>
      <c r="G24" s="689">
        <f t="shared" si="5"/>
        <v>8083327</v>
      </c>
      <c r="H24" s="689">
        <f t="shared" si="5"/>
        <v>1443249</v>
      </c>
      <c r="I24" s="689">
        <f t="shared" si="5"/>
        <v>-658603</v>
      </c>
      <c r="J24" s="689">
        <f t="shared" si="5"/>
        <v>-1318374</v>
      </c>
      <c r="K24" s="689">
        <v>7691969</v>
      </c>
      <c r="L24" s="690">
        <f>+G24/K24</f>
        <v>1.050878780192692</v>
      </c>
    </row>
    <row r="25" ht="17.25" customHeight="1">
      <c r="B25" s="612"/>
    </row>
    <row r="26" spans="1:12" s="583" customFormat="1" ht="21" customHeight="1">
      <c r="A26" s="583" t="s">
        <v>682</v>
      </c>
      <c r="B26" s="613"/>
      <c r="F26" s="583" t="s">
        <v>683</v>
      </c>
      <c r="K26" s="1253" t="s">
        <v>685</v>
      </c>
      <c r="L26" s="1253"/>
    </row>
    <row r="27" s="583" customFormat="1" ht="15">
      <c r="B27" s="613"/>
    </row>
    <row r="28" s="583" customFormat="1" ht="15">
      <c r="B28" s="613"/>
    </row>
  </sheetData>
  <mergeCells count="2">
    <mergeCell ref="K26:L26"/>
    <mergeCell ref="K2:L2"/>
  </mergeCells>
  <printOptions/>
  <pageMargins left="0.3937007874015748" right="0.3937007874015748" top="0.984251968503937" bottom="0.7874015748031497" header="0.7086614173228347" footer="0.31496062992125984"/>
  <pageSetup fitToHeight="1" fitToWidth="1" horizontalDpi="600" verticalDpi="600" orientation="landscape" paperSize="9" scale="69" r:id="rId1"/>
  <headerFooter alignWithMargins="0">
    <oddFooter>&amp;C&amp;12&amp;P+119&amp;14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114"/>
  <sheetViews>
    <sheetView workbookViewId="0" topLeftCell="A85">
      <selection activeCell="A108" sqref="A108"/>
    </sheetView>
  </sheetViews>
  <sheetFormatPr defaultColWidth="9.00390625" defaultRowHeight="12.75"/>
  <cols>
    <col min="1" max="1" width="50.875" style="0" bestFit="1" customWidth="1"/>
    <col min="2" max="2" width="10.375" style="0" customWidth="1"/>
    <col min="3" max="3" width="10.75390625" style="0" customWidth="1"/>
    <col min="4" max="4" width="11.00390625" style="0" customWidth="1"/>
    <col min="5" max="5" width="17.125" style="0" customWidth="1"/>
  </cols>
  <sheetData>
    <row r="4" spans="1:6" s="367" customFormat="1" ht="33" customHeight="1">
      <c r="A4" s="1255" t="s">
        <v>268</v>
      </c>
      <c r="B4" s="1255"/>
      <c r="C4" s="1255"/>
      <c r="D4" s="1255"/>
      <c r="E4" s="1255"/>
      <c r="F4" s="615"/>
    </row>
    <row r="5" spans="1:6" ht="9" customHeight="1">
      <c r="A5" s="616"/>
      <c r="B5" s="616"/>
      <c r="C5" s="616"/>
      <c r="D5" s="616"/>
      <c r="E5" s="616"/>
      <c r="F5" s="437"/>
    </row>
    <row r="6" ht="13.5" thickBot="1">
      <c r="E6" s="614" t="s">
        <v>1545</v>
      </c>
    </row>
    <row r="7" spans="1:5" s="623" customFormat="1" ht="20.25" customHeight="1" thickBot="1">
      <c r="A7" s="619" t="s">
        <v>269</v>
      </c>
      <c r="B7" s="620" t="s">
        <v>270</v>
      </c>
      <c r="C7" s="621" t="s">
        <v>1555</v>
      </c>
      <c r="D7" s="621" t="s">
        <v>1556</v>
      </c>
      <c r="E7" s="622" t="s">
        <v>271</v>
      </c>
    </row>
    <row r="8" spans="1:5" ht="12.75">
      <c r="A8" s="438" t="s">
        <v>272</v>
      </c>
      <c r="B8" s="439">
        <v>214110</v>
      </c>
      <c r="C8" s="440">
        <v>517891</v>
      </c>
      <c r="D8" s="440">
        <v>1209414</v>
      </c>
      <c r="E8" s="440">
        <v>1076588</v>
      </c>
    </row>
    <row r="9" spans="1:5" ht="12.75">
      <c r="A9" s="441" t="s">
        <v>273</v>
      </c>
      <c r="B9" s="442">
        <v>214110</v>
      </c>
      <c r="C9" s="443">
        <v>496980</v>
      </c>
      <c r="D9" s="443">
        <v>699011</v>
      </c>
      <c r="E9" s="443">
        <v>639701</v>
      </c>
    </row>
    <row r="10" spans="1:5" ht="12.75">
      <c r="A10" s="441" t="s">
        <v>274</v>
      </c>
      <c r="B10" s="442">
        <v>214110</v>
      </c>
      <c r="C10" s="443">
        <v>195591</v>
      </c>
      <c r="D10" s="443">
        <v>206475</v>
      </c>
      <c r="E10" s="443">
        <v>206382</v>
      </c>
    </row>
    <row r="11" spans="1:5" ht="12.75">
      <c r="A11" s="441" t="s">
        <v>275</v>
      </c>
      <c r="B11" s="442">
        <v>214110</v>
      </c>
      <c r="C11" s="443">
        <v>117621</v>
      </c>
      <c r="D11" s="443">
        <v>169920</v>
      </c>
      <c r="E11" s="443">
        <v>172169</v>
      </c>
    </row>
    <row r="12" spans="1:5" ht="12.75">
      <c r="A12" s="441" t="s">
        <v>276</v>
      </c>
      <c r="B12" s="442">
        <v>214110</v>
      </c>
      <c r="C12" s="443">
        <v>234007</v>
      </c>
      <c r="D12" s="443">
        <v>288403</v>
      </c>
      <c r="E12" s="443">
        <v>281273</v>
      </c>
    </row>
    <row r="13" spans="1:5" ht="12.75">
      <c r="A13" s="441" t="s">
        <v>277</v>
      </c>
      <c r="B13" s="442">
        <v>214110</v>
      </c>
      <c r="C13" s="443">
        <v>248528</v>
      </c>
      <c r="D13" s="443">
        <v>247688</v>
      </c>
      <c r="E13" s="443">
        <v>197231</v>
      </c>
    </row>
    <row r="14" spans="1:5" ht="12.75">
      <c r="A14" s="441" t="s">
        <v>278</v>
      </c>
      <c r="B14" s="442">
        <v>214110</v>
      </c>
      <c r="C14" s="443">
        <v>287156</v>
      </c>
      <c r="D14" s="443">
        <v>223009</v>
      </c>
      <c r="E14" s="443">
        <v>249798</v>
      </c>
    </row>
    <row r="15" spans="1:5" ht="12.75">
      <c r="A15" s="441" t="s">
        <v>279</v>
      </c>
      <c r="B15" s="442">
        <v>214110</v>
      </c>
      <c r="C15" s="443">
        <v>139077</v>
      </c>
      <c r="D15" s="443">
        <v>173396</v>
      </c>
      <c r="E15" s="443">
        <v>141244</v>
      </c>
    </row>
    <row r="16" spans="1:5" ht="12.75">
      <c r="A16" s="441" t="s">
        <v>1771</v>
      </c>
      <c r="B16" s="442">
        <v>214110</v>
      </c>
      <c r="C16" s="443">
        <v>96994</v>
      </c>
      <c r="D16" s="443">
        <v>143836</v>
      </c>
      <c r="E16" s="443">
        <v>124835</v>
      </c>
    </row>
    <row r="17" spans="1:5" ht="12.75">
      <c r="A17" s="441" t="s">
        <v>1772</v>
      </c>
      <c r="B17" s="442">
        <v>214110</v>
      </c>
      <c r="C17" s="443">
        <v>114806</v>
      </c>
      <c r="D17" s="443">
        <v>164255</v>
      </c>
      <c r="E17" s="443">
        <v>163598</v>
      </c>
    </row>
    <row r="18" spans="1:5" ht="12.75">
      <c r="A18" s="444" t="s">
        <v>1773</v>
      </c>
      <c r="B18" s="445"/>
      <c r="C18" s="446">
        <f>SUM(C8:C17)</f>
        <v>2448651</v>
      </c>
      <c r="D18" s="446">
        <f>SUM(D8:D17)</f>
        <v>3525407</v>
      </c>
      <c r="E18" s="446">
        <f>SUM(E8:E17)</f>
        <v>3252819</v>
      </c>
    </row>
    <row r="19" spans="1:5" ht="12.75">
      <c r="A19" s="442" t="s">
        <v>1774</v>
      </c>
      <c r="B19" s="447">
        <v>114050</v>
      </c>
      <c r="C19" s="443">
        <v>60000</v>
      </c>
      <c r="D19" s="443">
        <v>50967</v>
      </c>
      <c r="E19" s="443">
        <v>48120</v>
      </c>
    </row>
    <row r="20" spans="1:5" ht="12.75">
      <c r="A20" s="442" t="s">
        <v>1774</v>
      </c>
      <c r="B20" s="447">
        <v>114060</v>
      </c>
      <c r="C20" s="443">
        <v>0</v>
      </c>
      <c r="D20" s="443">
        <v>4262</v>
      </c>
      <c r="E20" s="443">
        <v>2279</v>
      </c>
    </row>
    <row r="21" spans="1:5" ht="12.75">
      <c r="A21" s="442" t="s">
        <v>1774</v>
      </c>
      <c r="B21" s="447">
        <v>114070</v>
      </c>
      <c r="C21" s="443">
        <v>0</v>
      </c>
      <c r="D21" s="443">
        <v>653101</v>
      </c>
      <c r="E21" s="443">
        <v>0</v>
      </c>
    </row>
    <row r="22" spans="1:5" ht="12.75">
      <c r="A22" s="442" t="s">
        <v>1774</v>
      </c>
      <c r="B22" s="447">
        <v>114410</v>
      </c>
      <c r="C22" s="443">
        <v>745676</v>
      </c>
      <c r="D22" s="443">
        <v>543946</v>
      </c>
      <c r="E22" s="443">
        <v>462911</v>
      </c>
    </row>
    <row r="23" spans="1:5" ht="12.75">
      <c r="A23" s="442" t="s">
        <v>1774</v>
      </c>
      <c r="B23" s="447">
        <v>214010</v>
      </c>
      <c r="C23" s="443">
        <v>0</v>
      </c>
      <c r="D23" s="443">
        <v>0</v>
      </c>
      <c r="E23" s="443">
        <v>866</v>
      </c>
    </row>
    <row r="24" spans="1:5" ht="12.75">
      <c r="A24" s="442" t="s">
        <v>1774</v>
      </c>
      <c r="B24" s="447">
        <v>214110</v>
      </c>
      <c r="C24" s="443">
        <v>228086</v>
      </c>
      <c r="D24" s="443">
        <v>181210</v>
      </c>
      <c r="E24" s="443">
        <v>308053</v>
      </c>
    </row>
    <row r="25" spans="1:5" ht="12.75">
      <c r="A25" s="442" t="s">
        <v>1774</v>
      </c>
      <c r="B25" s="447">
        <v>214510</v>
      </c>
      <c r="C25" s="443">
        <v>36200</v>
      </c>
      <c r="D25" s="443">
        <v>36200</v>
      </c>
      <c r="E25" s="443">
        <v>36005</v>
      </c>
    </row>
    <row r="26" spans="1:5" ht="12.75">
      <c r="A26" s="442" t="s">
        <v>1774</v>
      </c>
      <c r="B26" s="447">
        <v>214910</v>
      </c>
      <c r="C26" s="443">
        <v>1553597</v>
      </c>
      <c r="D26" s="443">
        <v>1273469</v>
      </c>
      <c r="E26" s="443">
        <v>1462622</v>
      </c>
    </row>
    <row r="27" spans="1:5" ht="12.75">
      <c r="A27" s="444" t="s">
        <v>1775</v>
      </c>
      <c r="B27" s="444"/>
      <c r="C27" s="446">
        <f>SUM(C19:C26)</f>
        <v>2623559</v>
      </c>
      <c r="D27" s="446">
        <f>SUM(D19:D26)</f>
        <v>2743155</v>
      </c>
      <c r="E27" s="446">
        <f>SUM(E19:E26)</f>
        <v>2320856</v>
      </c>
    </row>
    <row r="28" spans="1:5" ht="12.75">
      <c r="A28" s="441" t="s">
        <v>1776</v>
      </c>
      <c r="B28" s="447">
        <v>214020</v>
      </c>
      <c r="C28" s="443">
        <v>8347</v>
      </c>
      <c r="D28" s="443">
        <v>10147</v>
      </c>
      <c r="E28" s="443">
        <v>10145</v>
      </c>
    </row>
    <row r="29" spans="1:5" ht="12.75">
      <c r="A29" s="447" t="s">
        <v>1777</v>
      </c>
      <c r="B29" s="447">
        <v>114070</v>
      </c>
      <c r="C29" s="201">
        <v>0</v>
      </c>
      <c r="D29" s="201">
        <v>15000</v>
      </c>
      <c r="E29" s="201">
        <v>0</v>
      </c>
    </row>
    <row r="30" spans="1:5" ht="12.75">
      <c r="A30" s="447" t="s">
        <v>1777</v>
      </c>
      <c r="B30" s="447">
        <v>114230</v>
      </c>
      <c r="C30" s="201">
        <v>5000</v>
      </c>
      <c r="D30" s="201">
        <v>4959</v>
      </c>
      <c r="E30" s="201">
        <v>4957</v>
      </c>
    </row>
    <row r="31" spans="1:5" ht="12.75">
      <c r="A31" s="447" t="s">
        <v>1777</v>
      </c>
      <c r="B31" s="447">
        <v>214210</v>
      </c>
      <c r="C31" s="201">
        <v>442933</v>
      </c>
      <c r="D31" s="201">
        <v>456327</v>
      </c>
      <c r="E31" s="201">
        <v>449771</v>
      </c>
    </row>
    <row r="32" spans="1:5" ht="13.5" thickBot="1">
      <c r="A32" s="448" t="s">
        <v>1778</v>
      </c>
      <c r="B32" s="448"/>
      <c r="C32" s="449">
        <f>SUM(C29:C31)</f>
        <v>447933</v>
      </c>
      <c r="D32" s="449">
        <f>SUM(D29:D31)</f>
        <v>476286</v>
      </c>
      <c r="E32" s="449">
        <f>SUM(E29:E31)</f>
        <v>454728</v>
      </c>
    </row>
    <row r="33" spans="1:5" ht="14.25" thickBot="1" thickTop="1">
      <c r="A33" s="450" t="s">
        <v>1779</v>
      </c>
      <c r="B33" s="451"/>
      <c r="C33" s="452">
        <f>SUM(C18,C27:C28,C32)</f>
        <v>5528490</v>
      </c>
      <c r="D33" s="452">
        <f>SUM(D18,D27:D28,D32)</f>
        <v>6754995</v>
      </c>
      <c r="E33" s="452">
        <f>SUM(E18,E27:E28,E32)</f>
        <v>6038548</v>
      </c>
    </row>
    <row r="34" spans="1:5" ht="13.5" thickTop="1">
      <c r="A34" s="453" t="s">
        <v>1780</v>
      </c>
      <c r="B34" s="453">
        <v>114230</v>
      </c>
      <c r="C34" s="454">
        <v>0</v>
      </c>
      <c r="D34" s="454">
        <v>4956</v>
      </c>
      <c r="E34" s="454">
        <v>4955</v>
      </c>
    </row>
    <row r="35" spans="1:5" ht="12.75">
      <c r="A35" s="447" t="s">
        <v>1780</v>
      </c>
      <c r="B35" s="447">
        <v>214210</v>
      </c>
      <c r="C35" s="201">
        <v>77260</v>
      </c>
      <c r="D35" s="201">
        <v>104164</v>
      </c>
      <c r="E35" s="201">
        <v>104128</v>
      </c>
    </row>
    <row r="36" spans="1:5" s="149" customFormat="1" ht="12.75">
      <c r="A36" s="441" t="s">
        <v>1781</v>
      </c>
      <c r="B36" s="441"/>
      <c r="C36" s="443">
        <f>SUM(C34:C35)</f>
        <v>77260</v>
      </c>
      <c r="D36" s="443">
        <f>SUM(D34:D35)</f>
        <v>109120</v>
      </c>
      <c r="E36" s="443">
        <f>SUM(E34:E35)</f>
        <v>109083</v>
      </c>
    </row>
    <row r="37" spans="1:5" ht="12.75">
      <c r="A37" s="447" t="s">
        <v>1782</v>
      </c>
      <c r="B37" s="447">
        <v>114230</v>
      </c>
      <c r="C37" s="201">
        <v>0</v>
      </c>
      <c r="D37" s="201">
        <v>9893</v>
      </c>
      <c r="E37" s="201">
        <v>9892</v>
      </c>
    </row>
    <row r="38" spans="1:5" ht="12.75">
      <c r="A38" s="447" t="s">
        <v>1782</v>
      </c>
      <c r="B38" s="447">
        <v>214210</v>
      </c>
      <c r="C38" s="201">
        <v>71345</v>
      </c>
      <c r="D38" s="201">
        <v>73261</v>
      </c>
      <c r="E38" s="201">
        <v>73146</v>
      </c>
    </row>
    <row r="39" spans="1:5" ht="12.75">
      <c r="A39" s="441" t="s">
        <v>1783</v>
      </c>
      <c r="B39" s="441"/>
      <c r="C39" s="443">
        <f>SUM(C37:C38)</f>
        <v>71345</v>
      </c>
      <c r="D39" s="443">
        <f>SUM(D37:D38)</f>
        <v>83154</v>
      </c>
      <c r="E39" s="443">
        <f>SUM(E37:E38)</f>
        <v>83038</v>
      </c>
    </row>
    <row r="40" spans="1:5" ht="12.75">
      <c r="A40" s="447" t="s">
        <v>1784</v>
      </c>
      <c r="B40" s="447">
        <v>114230</v>
      </c>
      <c r="C40" s="201">
        <v>0</v>
      </c>
      <c r="D40" s="201">
        <v>24548</v>
      </c>
      <c r="E40" s="201">
        <v>24547</v>
      </c>
    </row>
    <row r="41" spans="1:5" ht="12.75">
      <c r="A41" s="447" t="s">
        <v>1784</v>
      </c>
      <c r="B41" s="447">
        <v>214210</v>
      </c>
      <c r="C41" s="201">
        <v>80978</v>
      </c>
      <c r="D41" s="201">
        <v>105715</v>
      </c>
      <c r="E41" s="201">
        <v>105762</v>
      </c>
    </row>
    <row r="42" spans="1:5" ht="12.75">
      <c r="A42" s="441" t="s">
        <v>1785</v>
      </c>
      <c r="B42" s="441"/>
      <c r="C42" s="443">
        <f>SUM(C40:C41)</f>
        <v>80978</v>
      </c>
      <c r="D42" s="443">
        <f>SUM(D40:D41)</f>
        <v>130263</v>
      </c>
      <c r="E42" s="443">
        <f>SUM(E40:E41)</f>
        <v>130309</v>
      </c>
    </row>
    <row r="43" spans="1:5" ht="12.75">
      <c r="A43" s="442" t="s">
        <v>1786</v>
      </c>
      <c r="B43" s="447">
        <v>114230</v>
      </c>
      <c r="C43" s="201">
        <v>0</v>
      </c>
      <c r="D43" s="201">
        <v>4949</v>
      </c>
      <c r="E43" s="201">
        <v>4946</v>
      </c>
    </row>
    <row r="44" spans="1:5" ht="12.75">
      <c r="A44" s="442" t="s">
        <v>1786</v>
      </c>
      <c r="B44" s="447">
        <v>214210</v>
      </c>
      <c r="C44" s="201">
        <v>28420</v>
      </c>
      <c r="D44" s="201">
        <v>46998</v>
      </c>
      <c r="E44" s="201">
        <v>53164</v>
      </c>
    </row>
    <row r="45" spans="1:5" ht="12.75">
      <c r="A45" s="441" t="s">
        <v>1787</v>
      </c>
      <c r="B45" s="441"/>
      <c r="C45" s="443">
        <f>SUM(C43:C44)</f>
        <v>28420</v>
      </c>
      <c r="D45" s="443">
        <f>SUM(D43:D44)</f>
        <v>51947</v>
      </c>
      <c r="E45" s="443">
        <f>SUM(E43:E44)</f>
        <v>58110</v>
      </c>
    </row>
    <row r="46" spans="1:5" ht="12.75">
      <c r="A46" s="447" t="s">
        <v>1788</v>
      </c>
      <c r="B46" s="447">
        <v>114230</v>
      </c>
      <c r="C46" s="201">
        <v>0</v>
      </c>
      <c r="D46" s="201">
        <v>14843</v>
      </c>
      <c r="E46" s="201">
        <v>14843</v>
      </c>
    </row>
    <row r="47" spans="1:5" ht="12.75">
      <c r="A47" s="447" t="s">
        <v>1788</v>
      </c>
      <c r="B47" s="447">
        <v>214210</v>
      </c>
      <c r="C47" s="201">
        <v>48060</v>
      </c>
      <c r="D47" s="201">
        <v>79254</v>
      </c>
      <c r="E47" s="201">
        <v>83939</v>
      </c>
    </row>
    <row r="48" spans="1:5" ht="12.75">
      <c r="A48" s="441" t="s">
        <v>1789</v>
      </c>
      <c r="B48" s="441"/>
      <c r="C48" s="443">
        <f>SUM(C46:C47)</f>
        <v>48060</v>
      </c>
      <c r="D48" s="443">
        <f>SUM(D46:D47)</f>
        <v>94097</v>
      </c>
      <c r="E48" s="443">
        <f>SUM(E46:E47)</f>
        <v>98782</v>
      </c>
    </row>
    <row r="49" spans="1:5" ht="12.75">
      <c r="A49" s="447" t="s">
        <v>1790</v>
      </c>
      <c r="B49" s="447">
        <v>114230</v>
      </c>
      <c r="C49" s="201">
        <v>0</v>
      </c>
      <c r="D49" s="201">
        <v>14846</v>
      </c>
      <c r="E49" s="201">
        <v>14840</v>
      </c>
    </row>
    <row r="50" spans="1:5" ht="12.75">
      <c r="A50" s="447" t="s">
        <v>1790</v>
      </c>
      <c r="B50" s="447">
        <v>214210</v>
      </c>
      <c r="C50" s="201">
        <v>57110</v>
      </c>
      <c r="D50" s="201">
        <v>81817</v>
      </c>
      <c r="E50" s="201">
        <v>83985</v>
      </c>
    </row>
    <row r="51" spans="1:5" ht="12.75">
      <c r="A51" s="441" t="s">
        <v>1791</v>
      </c>
      <c r="B51" s="441"/>
      <c r="C51" s="443">
        <f>SUM(C49:C50)</f>
        <v>57110</v>
      </c>
      <c r="D51" s="443">
        <f>SUM(D49:D50)</f>
        <v>96663</v>
      </c>
      <c r="E51" s="443">
        <f>SUM(E49:E50)</f>
        <v>98825</v>
      </c>
    </row>
    <row r="52" spans="1:5" ht="12.75">
      <c r="A52" s="447" t="s">
        <v>1792</v>
      </c>
      <c r="B52" s="447">
        <v>114230</v>
      </c>
      <c r="C52" s="201">
        <v>0</v>
      </c>
      <c r="D52" s="201">
        <v>9897</v>
      </c>
      <c r="E52" s="201">
        <v>9897</v>
      </c>
    </row>
    <row r="53" spans="1:5" ht="12.75">
      <c r="A53" s="447" t="s">
        <v>1792</v>
      </c>
      <c r="B53" s="447">
        <v>214210</v>
      </c>
      <c r="C53" s="201">
        <v>48840</v>
      </c>
      <c r="D53" s="201">
        <v>54414</v>
      </c>
      <c r="E53" s="201">
        <v>54394</v>
      </c>
    </row>
    <row r="54" spans="1:5" ht="12.75">
      <c r="A54" s="441" t="s">
        <v>1793</v>
      </c>
      <c r="B54" s="441"/>
      <c r="C54" s="443">
        <f>SUM(C52:C53)</f>
        <v>48840</v>
      </c>
      <c r="D54" s="443">
        <f>SUM(D52:D53)</f>
        <v>64311</v>
      </c>
      <c r="E54" s="443">
        <f>SUM(E52:E53)</f>
        <v>64291</v>
      </c>
    </row>
    <row r="55" spans="1:5" ht="12.75">
      <c r="A55" s="447" t="s">
        <v>1794</v>
      </c>
      <c r="B55" s="447">
        <v>114230</v>
      </c>
      <c r="C55" s="201">
        <v>0</v>
      </c>
      <c r="D55" s="201">
        <v>9897</v>
      </c>
      <c r="E55" s="201">
        <v>9896</v>
      </c>
    </row>
    <row r="56" spans="1:5" ht="12.75">
      <c r="A56" s="447" t="s">
        <v>1794</v>
      </c>
      <c r="B56" s="447">
        <v>214210</v>
      </c>
      <c r="C56" s="201">
        <v>86780</v>
      </c>
      <c r="D56" s="201">
        <v>112081</v>
      </c>
      <c r="E56" s="201">
        <v>119599</v>
      </c>
    </row>
    <row r="57" spans="1:5" ht="12.75">
      <c r="A57" s="441" t="s">
        <v>1795</v>
      </c>
      <c r="B57" s="441"/>
      <c r="C57" s="443">
        <f>SUM(C55:C56)</f>
        <v>86780</v>
      </c>
      <c r="D57" s="443">
        <f>SUM(D55:D56)</f>
        <v>121978</v>
      </c>
      <c r="E57" s="443">
        <f>SUM(E55:E56)</f>
        <v>129495</v>
      </c>
    </row>
    <row r="58" spans="1:5" ht="12.75">
      <c r="A58" s="447" t="s">
        <v>1796</v>
      </c>
      <c r="B58" s="447">
        <v>114230</v>
      </c>
      <c r="C58" s="201">
        <v>0</v>
      </c>
      <c r="D58" s="201">
        <v>14705</v>
      </c>
      <c r="E58" s="201">
        <v>14704</v>
      </c>
    </row>
    <row r="59" spans="1:5" ht="12.75">
      <c r="A59" s="447" t="s">
        <v>1796</v>
      </c>
      <c r="B59" s="447">
        <v>214210</v>
      </c>
      <c r="C59" s="201">
        <v>49500</v>
      </c>
      <c r="D59" s="201">
        <v>68335</v>
      </c>
      <c r="E59" s="201">
        <v>71090</v>
      </c>
    </row>
    <row r="60" spans="1:5" ht="12.75">
      <c r="A60" s="441" t="s">
        <v>1797</v>
      </c>
      <c r="B60" s="441"/>
      <c r="C60" s="443">
        <f>SUM(C58:C59)</f>
        <v>49500</v>
      </c>
      <c r="D60" s="443">
        <f>SUM(D58:D59)</f>
        <v>83040</v>
      </c>
      <c r="E60" s="443">
        <f>SUM(E58:E59)</f>
        <v>85794</v>
      </c>
    </row>
    <row r="61" spans="1:5" ht="12.75">
      <c r="A61" s="447" t="s">
        <v>1798</v>
      </c>
      <c r="B61" s="447">
        <v>114230</v>
      </c>
      <c r="C61" s="201">
        <v>0</v>
      </c>
      <c r="D61" s="201">
        <v>14846</v>
      </c>
      <c r="E61" s="201">
        <v>14838</v>
      </c>
    </row>
    <row r="62" spans="1:5" ht="12.75">
      <c r="A62" s="447" t="s">
        <v>1798</v>
      </c>
      <c r="B62" s="447">
        <v>214210</v>
      </c>
      <c r="C62" s="201">
        <v>53261</v>
      </c>
      <c r="D62" s="201">
        <v>79783</v>
      </c>
      <c r="E62" s="201">
        <v>82027</v>
      </c>
    </row>
    <row r="63" spans="1:5" ht="12.75">
      <c r="A63" s="441" t="s">
        <v>1799</v>
      </c>
      <c r="B63" s="441"/>
      <c r="C63" s="443">
        <f>SUM(C61:C62)</f>
        <v>53261</v>
      </c>
      <c r="D63" s="443">
        <f>SUM(D61:D62)</f>
        <v>94629</v>
      </c>
      <c r="E63" s="443">
        <f>SUM(E61:E62)</f>
        <v>96865</v>
      </c>
    </row>
    <row r="64" spans="1:5" ht="12.75">
      <c r="A64" s="447" t="s">
        <v>1800</v>
      </c>
      <c r="B64" s="447">
        <v>114230</v>
      </c>
      <c r="C64" s="201">
        <v>0</v>
      </c>
      <c r="D64" s="201">
        <v>14846</v>
      </c>
      <c r="E64" s="201">
        <v>14846</v>
      </c>
    </row>
    <row r="65" spans="1:5" ht="12.75">
      <c r="A65" s="447" t="s">
        <v>1800</v>
      </c>
      <c r="B65" s="447">
        <v>214210</v>
      </c>
      <c r="C65" s="201">
        <v>43860</v>
      </c>
      <c r="D65" s="201">
        <v>66343</v>
      </c>
      <c r="E65" s="201">
        <v>78939</v>
      </c>
    </row>
    <row r="66" spans="1:5" ht="12.75">
      <c r="A66" s="441" t="s">
        <v>1801</v>
      </c>
      <c r="B66" s="441"/>
      <c r="C66" s="443">
        <f>SUM(C64:C65)</f>
        <v>43860</v>
      </c>
      <c r="D66" s="443">
        <f>SUM(D64:D65)</f>
        <v>81189</v>
      </c>
      <c r="E66" s="443">
        <f>SUM(E64:E65)</f>
        <v>93785</v>
      </c>
    </row>
    <row r="67" spans="1:5" ht="12.75">
      <c r="A67" s="447" t="s">
        <v>1802</v>
      </c>
      <c r="B67" s="447">
        <v>114230</v>
      </c>
      <c r="C67" s="201">
        <v>195000</v>
      </c>
      <c r="D67" s="201">
        <v>29691</v>
      </c>
      <c r="E67" s="201">
        <v>29688</v>
      </c>
    </row>
    <row r="68" spans="1:5" ht="12.75">
      <c r="A68" s="447" t="s">
        <v>1802</v>
      </c>
      <c r="B68" s="447">
        <v>214210</v>
      </c>
      <c r="C68" s="201">
        <v>172897</v>
      </c>
      <c r="D68" s="201">
        <v>119478</v>
      </c>
      <c r="E68" s="201">
        <v>120385</v>
      </c>
    </row>
    <row r="69" spans="1:5" ht="12.75">
      <c r="A69" s="441" t="s">
        <v>1803</v>
      </c>
      <c r="B69" s="441"/>
      <c r="C69" s="443">
        <f>SUM(C67:C68)</f>
        <v>367897</v>
      </c>
      <c r="D69" s="443">
        <f>SUM(D67:D68)</f>
        <v>149169</v>
      </c>
      <c r="E69" s="443">
        <f>SUM(E67:E68)</f>
        <v>150073</v>
      </c>
    </row>
    <row r="70" spans="1:5" ht="12.75">
      <c r="A70" s="447" t="s">
        <v>1804</v>
      </c>
      <c r="B70" s="447">
        <v>114230</v>
      </c>
      <c r="C70" s="201">
        <v>0</v>
      </c>
      <c r="D70" s="201">
        <v>14838</v>
      </c>
      <c r="E70" s="201">
        <v>14836</v>
      </c>
    </row>
    <row r="71" spans="1:5" ht="12.75">
      <c r="A71" s="447" t="s">
        <v>1804</v>
      </c>
      <c r="B71" s="447">
        <v>214210</v>
      </c>
      <c r="C71" s="201">
        <v>84140</v>
      </c>
      <c r="D71" s="201">
        <v>82273</v>
      </c>
      <c r="E71" s="201">
        <v>82544</v>
      </c>
    </row>
    <row r="72" spans="1:5" ht="12.75">
      <c r="A72" s="441" t="s">
        <v>1805</v>
      </c>
      <c r="B72" s="441"/>
      <c r="C72" s="443">
        <f>SUM(C70:C71)</f>
        <v>84140</v>
      </c>
      <c r="D72" s="443">
        <f>SUM(D70:D71)</f>
        <v>97111</v>
      </c>
      <c r="E72" s="443">
        <f>SUM(E70:E71)</f>
        <v>97380</v>
      </c>
    </row>
    <row r="73" spans="1:5" ht="12.75">
      <c r="A73" s="447" t="s">
        <v>1806</v>
      </c>
      <c r="B73" s="447">
        <v>114230</v>
      </c>
      <c r="C73" s="201">
        <v>0</v>
      </c>
      <c r="D73" s="201">
        <v>9897</v>
      </c>
      <c r="E73" s="201">
        <v>9896</v>
      </c>
    </row>
    <row r="74" spans="1:5" ht="12.75">
      <c r="A74" s="447" t="s">
        <v>1806</v>
      </c>
      <c r="B74" s="447">
        <v>214210</v>
      </c>
      <c r="C74" s="201">
        <f>41513-495</f>
        <v>41018</v>
      </c>
      <c r="D74" s="201">
        <v>45407</v>
      </c>
      <c r="E74" s="201">
        <v>45892</v>
      </c>
    </row>
    <row r="75" spans="1:5" ht="13.5" thickBot="1">
      <c r="A75" s="441" t="s">
        <v>1807</v>
      </c>
      <c r="B75" s="441"/>
      <c r="C75" s="443">
        <f>SUM(C73:C74)</f>
        <v>41018</v>
      </c>
      <c r="D75" s="443">
        <f>SUM(D73:D74)</f>
        <v>55304</v>
      </c>
      <c r="E75" s="443">
        <f>SUM(E73:E74)</f>
        <v>55788</v>
      </c>
    </row>
    <row r="76" spans="1:5" ht="14.25" thickBot="1" thickTop="1">
      <c r="A76" s="450" t="s">
        <v>1808</v>
      </c>
      <c r="B76" s="451"/>
      <c r="C76" s="452">
        <f>SUM(C36,C39,C42,C45,C48,C51,C54,C57,C60,C63,C66,C69,C72,C75)</f>
        <v>1138469</v>
      </c>
      <c r="D76" s="452">
        <f>SUM(D36,D39,D42,D45,D48,D51,D54,D57,D60,D63,D66,D69,D72,D75)</f>
        <v>1311975</v>
      </c>
      <c r="E76" s="452">
        <f>SUM(E36,E39,E42,E45,E48,E51,E54,E57,E60,E63,E66,E69,E72,E75)</f>
        <v>1351618</v>
      </c>
    </row>
    <row r="77" spans="1:5" ht="13.5" thickTop="1">
      <c r="A77" s="442" t="s">
        <v>1809</v>
      </c>
      <c r="B77" s="447">
        <v>114070</v>
      </c>
      <c r="C77" s="201">
        <v>0</v>
      </c>
      <c r="D77" s="201">
        <v>4500</v>
      </c>
      <c r="E77" s="201">
        <v>0</v>
      </c>
    </row>
    <row r="78" spans="1:5" ht="12.75">
      <c r="A78" s="442" t="s">
        <v>1809</v>
      </c>
      <c r="B78" s="447">
        <v>214030</v>
      </c>
      <c r="C78" s="201">
        <v>8224</v>
      </c>
      <c r="D78" s="201">
        <v>9874</v>
      </c>
      <c r="E78" s="201">
        <v>9874</v>
      </c>
    </row>
    <row r="79" spans="1:5" ht="12.75">
      <c r="A79" s="441" t="s">
        <v>1809</v>
      </c>
      <c r="B79" s="441"/>
      <c r="C79" s="443">
        <f>SUM(C77:C78)</f>
        <v>8224</v>
      </c>
      <c r="D79" s="443">
        <f>SUM(D77:D78)</f>
        <v>14374</v>
      </c>
      <c r="E79" s="443">
        <f>SUM(E77:E78)</f>
        <v>9874</v>
      </c>
    </row>
    <row r="80" spans="1:5" ht="12.75">
      <c r="A80" s="441" t="s">
        <v>1810</v>
      </c>
      <c r="B80" s="442">
        <v>214030</v>
      </c>
      <c r="C80" s="443">
        <v>141113</v>
      </c>
      <c r="D80" s="443">
        <v>295365</v>
      </c>
      <c r="E80" s="443">
        <v>295250</v>
      </c>
    </row>
    <row r="81" spans="1:5" ht="12.75">
      <c r="A81" s="441" t="s">
        <v>1811</v>
      </c>
      <c r="B81" s="442">
        <v>214030</v>
      </c>
      <c r="C81" s="443">
        <v>12479</v>
      </c>
      <c r="D81" s="443">
        <v>9469</v>
      </c>
      <c r="E81" s="443">
        <v>9448</v>
      </c>
    </row>
    <row r="82" spans="1:5" ht="12.75">
      <c r="A82" s="441" t="s">
        <v>1812</v>
      </c>
      <c r="B82" s="442">
        <v>214030</v>
      </c>
      <c r="C82" s="443">
        <v>8654</v>
      </c>
      <c r="D82" s="443">
        <v>17554</v>
      </c>
      <c r="E82" s="443">
        <v>17522</v>
      </c>
    </row>
    <row r="83" spans="1:5" ht="12.75">
      <c r="A83" s="441" t="s">
        <v>1813</v>
      </c>
      <c r="B83" s="442">
        <v>214030</v>
      </c>
      <c r="C83" s="443">
        <v>5060</v>
      </c>
      <c r="D83" s="443">
        <v>7870</v>
      </c>
      <c r="E83" s="443">
        <v>7869</v>
      </c>
    </row>
    <row r="84" spans="1:5" ht="12.75">
      <c r="A84" s="441" t="s">
        <v>1814</v>
      </c>
      <c r="B84" s="442">
        <v>214030</v>
      </c>
      <c r="C84" s="443">
        <v>4075</v>
      </c>
      <c r="D84" s="443">
        <v>25048</v>
      </c>
      <c r="E84" s="443">
        <v>25035</v>
      </c>
    </row>
    <row r="85" spans="1:5" ht="12.75">
      <c r="A85" s="441" t="s">
        <v>1815</v>
      </c>
      <c r="B85" s="442">
        <v>214030</v>
      </c>
      <c r="C85" s="443">
        <v>4449</v>
      </c>
      <c r="D85" s="443">
        <v>5889</v>
      </c>
      <c r="E85" s="443">
        <v>5882</v>
      </c>
    </row>
    <row r="86" spans="1:5" ht="13.5" thickBot="1">
      <c r="A86" s="441" t="s">
        <v>1816</v>
      </c>
      <c r="B86" s="442">
        <v>214030</v>
      </c>
      <c r="C86" s="443">
        <v>15898</v>
      </c>
      <c r="D86" s="443">
        <v>15313</v>
      </c>
      <c r="E86" s="443">
        <v>15295</v>
      </c>
    </row>
    <row r="87" spans="1:5" ht="14.25" thickBot="1" thickTop="1">
      <c r="A87" s="450" t="s">
        <v>1817</v>
      </c>
      <c r="B87" s="451"/>
      <c r="C87" s="452">
        <f>SUM(C79:C86)</f>
        <v>199952</v>
      </c>
      <c r="D87" s="452">
        <f>SUM(D79:D86)</f>
        <v>390882</v>
      </c>
      <c r="E87" s="452">
        <f>SUM(E79:E86)</f>
        <v>386175</v>
      </c>
    </row>
    <row r="88" spans="1:5" ht="13.5" thickTop="1">
      <c r="A88" s="441" t="s">
        <v>1818</v>
      </c>
      <c r="B88" s="442">
        <v>214020</v>
      </c>
      <c r="C88" s="443">
        <v>17100</v>
      </c>
      <c r="D88" s="443">
        <v>20095</v>
      </c>
      <c r="E88" s="443">
        <v>20077</v>
      </c>
    </row>
    <row r="89" spans="1:5" s="149" customFormat="1" ht="12.75">
      <c r="A89" s="441" t="s">
        <v>1819</v>
      </c>
      <c r="B89" s="442">
        <v>214020</v>
      </c>
      <c r="C89" s="443">
        <v>17937</v>
      </c>
      <c r="D89" s="443">
        <v>24163</v>
      </c>
      <c r="E89" s="443">
        <v>24149</v>
      </c>
    </row>
    <row r="90" spans="1:5" ht="12.75">
      <c r="A90" s="441" t="s">
        <v>1820</v>
      </c>
      <c r="B90" s="442">
        <v>214020</v>
      </c>
      <c r="C90" s="443">
        <v>14686</v>
      </c>
      <c r="D90" s="443">
        <v>23186</v>
      </c>
      <c r="E90" s="443">
        <v>23184</v>
      </c>
    </row>
    <row r="91" spans="1:5" ht="12.75">
      <c r="A91" s="441" t="s">
        <v>1821</v>
      </c>
      <c r="B91" s="442">
        <v>214020</v>
      </c>
      <c r="C91" s="443">
        <v>14279</v>
      </c>
      <c r="D91" s="443">
        <v>14294</v>
      </c>
      <c r="E91" s="443">
        <v>14287</v>
      </c>
    </row>
    <row r="92" spans="1:5" ht="17.25" customHeight="1">
      <c r="A92" s="441" t="s">
        <v>1822</v>
      </c>
      <c r="B92" s="442">
        <v>214020</v>
      </c>
      <c r="C92" s="443">
        <v>33215</v>
      </c>
      <c r="D92" s="443">
        <v>37291</v>
      </c>
      <c r="E92" s="443">
        <v>56790</v>
      </c>
    </row>
    <row r="93" spans="1:5" ht="13.5" thickBot="1">
      <c r="A93" s="441" t="s">
        <v>1823</v>
      </c>
      <c r="B93" s="442">
        <v>214020</v>
      </c>
      <c r="C93" s="443">
        <v>3506</v>
      </c>
      <c r="D93" s="443">
        <v>2786</v>
      </c>
      <c r="E93" s="443">
        <v>2771</v>
      </c>
    </row>
    <row r="94" spans="1:5" ht="14.25" thickBot="1" thickTop="1">
      <c r="A94" s="450" t="s">
        <v>1824</v>
      </c>
      <c r="B94" s="451"/>
      <c r="C94" s="452">
        <f>SUM(C88:C93)</f>
        <v>100723</v>
      </c>
      <c r="D94" s="452">
        <f>SUM(D88:D93)</f>
        <v>121815</v>
      </c>
      <c r="E94" s="452">
        <f>SUM(E88:E93)</f>
        <v>141258</v>
      </c>
    </row>
    <row r="95" spans="1:5" ht="14.25" thickBot="1" thickTop="1">
      <c r="A95" s="441" t="s">
        <v>1825</v>
      </c>
      <c r="B95" s="441">
        <v>214020</v>
      </c>
      <c r="C95" s="443">
        <v>26174</v>
      </c>
      <c r="D95" s="443">
        <v>27194</v>
      </c>
      <c r="E95" s="443">
        <v>30856</v>
      </c>
    </row>
    <row r="96" spans="1:5" ht="14.25" thickBot="1" thickTop="1">
      <c r="A96" s="450" t="s">
        <v>839</v>
      </c>
      <c r="B96" s="451"/>
      <c r="C96" s="452">
        <f>SUM(C94:C95)</f>
        <v>126897</v>
      </c>
      <c r="D96" s="452">
        <f>SUM(D94:D95)</f>
        <v>149009</v>
      </c>
      <c r="E96" s="452">
        <f>SUM(E94:E95)</f>
        <v>172114</v>
      </c>
    </row>
    <row r="97" spans="1:5" ht="14.25" thickBot="1" thickTop="1">
      <c r="A97" s="441" t="s">
        <v>1770</v>
      </c>
      <c r="B97" s="441">
        <v>214210</v>
      </c>
      <c r="C97" s="443">
        <v>4300</v>
      </c>
      <c r="D97" s="443">
        <v>5600</v>
      </c>
      <c r="E97" s="443">
        <v>5587</v>
      </c>
    </row>
    <row r="98" spans="1:5" ht="14.25" thickBot="1" thickTop="1">
      <c r="A98" s="450" t="s">
        <v>1826</v>
      </c>
      <c r="B98" s="451"/>
      <c r="C98" s="452">
        <f>SUM(C96:C97)</f>
        <v>131197</v>
      </c>
      <c r="D98" s="452">
        <f>SUM(D96:D97)</f>
        <v>154609</v>
      </c>
      <c r="E98" s="452">
        <f>SUM(E96:E97)</f>
        <v>177701</v>
      </c>
    </row>
    <row r="99" spans="1:5" ht="13.5" thickTop="1">
      <c r="A99" s="441" t="s">
        <v>1827</v>
      </c>
      <c r="B99" s="441">
        <v>214020</v>
      </c>
      <c r="C99" s="443">
        <v>4210</v>
      </c>
      <c r="D99" s="443">
        <v>4210</v>
      </c>
      <c r="E99" s="443">
        <v>4207</v>
      </c>
    </row>
    <row r="100" spans="1:5" ht="13.5" thickBot="1">
      <c r="A100" s="441" t="s">
        <v>1828</v>
      </c>
      <c r="B100" s="441">
        <v>114040</v>
      </c>
      <c r="C100" s="443">
        <v>35643</v>
      </c>
      <c r="D100" s="443">
        <v>23437</v>
      </c>
      <c r="E100" s="443">
        <v>23287</v>
      </c>
    </row>
    <row r="101" spans="1:5" ht="14.25" thickBot="1" thickTop="1">
      <c r="A101" s="450" t="s">
        <v>1829</v>
      </c>
      <c r="B101" s="451"/>
      <c r="C101" s="452">
        <f>SUM(C99:C100)</f>
        <v>39853</v>
      </c>
      <c r="D101" s="452">
        <f>SUM(D99:D100)</f>
        <v>27647</v>
      </c>
      <c r="E101" s="452">
        <f>SUM(E99:E100)</f>
        <v>27494</v>
      </c>
    </row>
    <row r="102" spans="1:5" ht="13.5" thickTop="1">
      <c r="A102" s="455" t="s">
        <v>1830</v>
      </c>
      <c r="B102" s="447">
        <v>114040</v>
      </c>
      <c r="C102" s="443">
        <v>0</v>
      </c>
      <c r="D102" s="443">
        <v>2607</v>
      </c>
      <c r="E102" s="443">
        <v>2607</v>
      </c>
    </row>
    <row r="103" spans="1:5" ht="12.75">
      <c r="A103" s="441" t="s">
        <v>1831</v>
      </c>
      <c r="B103" s="447">
        <v>214020</v>
      </c>
      <c r="C103" s="443">
        <v>2985</v>
      </c>
      <c r="D103" s="443">
        <v>2985</v>
      </c>
      <c r="E103" s="443">
        <v>2985</v>
      </c>
    </row>
    <row r="104" spans="1:5" ht="12.75">
      <c r="A104" s="447" t="s">
        <v>129</v>
      </c>
      <c r="B104" s="447">
        <v>114040</v>
      </c>
      <c r="C104" s="201">
        <v>31346</v>
      </c>
      <c r="D104" s="201">
        <v>59189</v>
      </c>
      <c r="E104" s="201">
        <v>59171</v>
      </c>
    </row>
    <row r="105" spans="1:5" ht="12.75">
      <c r="A105" s="447" t="s">
        <v>129</v>
      </c>
      <c r="B105" s="447">
        <v>214010</v>
      </c>
      <c r="C105" s="201">
        <v>16041</v>
      </c>
      <c r="D105" s="201">
        <v>16041</v>
      </c>
      <c r="E105" s="201">
        <v>16041</v>
      </c>
    </row>
    <row r="106" spans="1:5" ht="13.5" thickBot="1">
      <c r="A106" s="441" t="s">
        <v>1832</v>
      </c>
      <c r="B106" s="441"/>
      <c r="C106" s="443">
        <f>SUM(C104:C105)</f>
        <v>47387</v>
      </c>
      <c r="D106" s="443">
        <f>SUM(D104:D105)</f>
        <v>75230</v>
      </c>
      <c r="E106" s="443">
        <f>SUM(E104:E105)</f>
        <v>75212</v>
      </c>
    </row>
    <row r="107" spans="1:5" ht="14.25" thickBot="1" thickTop="1">
      <c r="A107" s="450" t="s">
        <v>1833</v>
      </c>
      <c r="B107" s="451"/>
      <c r="C107" s="452">
        <f>SUM(C102:C103,C106)</f>
        <v>50372</v>
      </c>
      <c r="D107" s="452">
        <f>SUM(D102:D103,D106)</f>
        <v>80822</v>
      </c>
      <c r="E107" s="452">
        <f>SUM(E102:E103,E106)</f>
        <v>80804</v>
      </c>
    </row>
    <row r="108" spans="1:5" ht="14.25" thickBot="1" thickTop="1">
      <c r="A108" s="450" t="s">
        <v>1834</v>
      </c>
      <c r="B108" s="451"/>
      <c r="C108" s="452">
        <f>SUM(C33,C76,C87,C98,C101,C107)</f>
        <v>7088333</v>
      </c>
      <c r="D108" s="452">
        <f>SUM(D33,D76,D87,D98,D101,D107)</f>
        <v>8720930</v>
      </c>
      <c r="E108" s="452">
        <f>SUM(E33,E76,E87,E98,E101,E107)</f>
        <v>8062340</v>
      </c>
    </row>
    <row r="109" spans="1:5" ht="14.25" thickBot="1" thickTop="1">
      <c r="A109" s="441" t="s">
        <v>1835</v>
      </c>
      <c r="B109" s="441"/>
      <c r="C109" s="443">
        <v>0</v>
      </c>
      <c r="D109" s="443">
        <v>21000</v>
      </c>
      <c r="E109" s="443">
        <v>20987</v>
      </c>
    </row>
    <row r="110" spans="1:5" ht="14.25" thickBot="1" thickTop="1">
      <c r="A110" s="450" t="s">
        <v>1836</v>
      </c>
      <c r="B110" s="451"/>
      <c r="C110" s="452">
        <f>SUM(C108:C109)</f>
        <v>7088333</v>
      </c>
      <c r="D110" s="452">
        <f>SUM(D108:D109)</f>
        <v>8741930</v>
      </c>
      <c r="E110" s="452">
        <f>SUM(E108:E109)</f>
        <v>8083327</v>
      </c>
    </row>
    <row r="111" ht="13.5" thickTop="1"/>
    <row r="113" spans="1:5" s="617" customFormat="1" ht="12.75">
      <c r="A113" s="1256" t="s">
        <v>684</v>
      </c>
      <c r="B113" s="1256"/>
      <c r="D113" s="1257" t="s">
        <v>685</v>
      </c>
      <c r="E113" s="1257"/>
    </row>
    <row r="114" spans="1:2" ht="12.75">
      <c r="A114" s="618" t="s">
        <v>1431</v>
      </c>
      <c r="B114" s="618"/>
    </row>
  </sheetData>
  <mergeCells count="3">
    <mergeCell ref="A4:E4"/>
    <mergeCell ref="A113:B113"/>
    <mergeCell ref="D113:E113"/>
  </mergeCells>
  <printOptions horizontalCentered="1"/>
  <pageMargins left="0.984251968503937" right="0.5905511811023623" top="0.984251968503937" bottom="0.7874015748031497" header="0.7086614173228347" footer="0.5118110236220472"/>
  <pageSetup fitToHeight="2" fitToWidth="1" horizontalDpi="600" verticalDpi="600" orientation="portrait" paperSize="9" scale="86" r:id="rId1"/>
  <headerFooter alignWithMargins="0">
    <oddHeader>&amp;L&amp;12  &amp;"Arial CE,Tučné" Kapitola: 314 - Ministerstvo vnitra&amp;C&amp;"Arial CE,Tučné"&amp;12
&amp;R&amp;"Arial CE,Tučné"&amp;12   Tabulka č. 12/1&amp;"Arial CE,Obyčejné"
&amp;11List:&amp;P/&amp;N</oddHeader>
    <oddFooter xml:space="preserve">&amp;C&amp;12
&amp;10&amp;P+120&amp;11
&amp;R&amp;12   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660"/>
  <sheetViews>
    <sheetView workbookViewId="0" topLeftCell="A1668">
      <selection activeCell="C1684" sqref="C1684"/>
    </sheetView>
  </sheetViews>
  <sheetFormatPr defaultColWidth="9.00390625" defaultRowHeight="12.75" outlineLevelRow="2"/>
  <cols>
    <col min="1" max="1" width="14.625" style="618" customWidth="1"/>
    <col min="2" max="2" width="76.375" style="0" customWidth="1"/>
    <col min="3" max="3" width="37.25390625" style="618" customWidth="1"/>
    <col min="4" max="4" width="8.75390625" style="0" hidden="1" customWidth="1"/>
    <col min="5" max="5" width="7.875" style="0" customWidth="1"/>
    <col min="6" max="6" width="16.375" style="0" bestFit="1" customWidth="1"/>
    <col min="7" max="9" width="13.875" style="456" customWidth="1"/>
    <col min="10" max="10" width="18.25390625" style="456" hidden="1" customWidth="1"/>
  </cols>
  <sheetData>
    <row r="1" spans="1:5" ht="12.75">
      <c r="A1" s="1258"/>
      <c r="B1" s="1258"/>
      <c r="C1" s="1258"/>
      <c r="D1" s="1258"/>
      <c r="E1" s="1258"/>
    </row>
    <row r="2" spans="1:10" s="626" customFormat="1" ht="21.75" customHeight="1">
      <c r="A2" s="1259" t="s">
        <v>1837</v>
      </c>
      <c r="B2" s="1259"/>
      <c r="C2" s="1259"/>
      <c r="D2" s="1259"/>
      <c r="E2" s="1259"/>
      <c r="F2" s="1259"/>
      <c r="G2" s="1259"/>
      <c r="H2" s="1259"/>
      <c r="I2" s="1259"/>
      <c r="J2" s="625"/>
    </row>
    <row r="3" spans="1:10" s="626" customFormat="1" ht="12" customHeight="1" thickBot="1">
      <c r="A3" s="627"/>
      <c r="B3" s="627"/>
      <c r="C3" s="627"/>
      <c r="D3" s="627"/>
      <c r="E3" s="627"/>
      <c r="F3" s="627"/>
      <c r="G3" s="627"/>
      <c r="H3" s="627"/>
      <c r="I3" s="624" t="s">
        <v>1545</v>
      </c>
      <c r="J3" s="625"/>
    </row>
    <row r="4" spans="1:10" s="630" customFormat="1" ht="29.25" customHeight="1" thickBot="1">
      <c r="A4" s="643" t="s">
        <v>1838</v>
      </c>
      <c r="B4" s="1065" t="s">
        <v>1839</v>
      </c>
      <c r="C4" s="633" t="s">
        <v>1840</v>
      </c>
      <c r="D4" s="633" t="s">
        <v>270</v>
      </c>
      <c r="E4" s="642" t="s">
        <v>1841</v>
      </c>
      <c r="F4" s="632" t="s">
        <v>1842</v>
      </c>
      <c r="G4" s="628" t="s">
        <v>1555</v>
      </c>
      <c r="H4" s="628" t="s">
        <v>1556</v>
      </c>
      <c r="I4" s="629" t="s">
        <v>271</v>
      </c>
      <c r="J4" s="631" t="s">
        <v>12</v>
      </c>
    </row>
    <row r="5" spans="1:10" ht="12.75" outlineLevel="2">
      <c r="A5" s="644">
        <v>1140428001</v>
      </c>
      <c r="B5" s="634" t="s">
        <v>1843</v>
      </c>
      <c r="C5" s="634" t="s">
        <v>1844</v>
      </c>
      <c r="D5" s="634">
        <v>114040</v>
      </c>
      <c r="E5" s="634" t="s">
        <v>1494</v>
      </c>
      <c r="F5" s="461" t="s">
        <v>1845</v>
      </c>
      <c r="G5" s="462">
        <v>2.5</v>
      </c>
      <c r="H5" s="462">
        <v>1.063</v>
      </c>
      <c r="I5" s="463">
        <v>1.043</v>
      </c>
      <c r="J5" s="464">
        <v>0.02</v>
      </c>
    </row>
    <row r="6" spans="1:10" ht="12.75" outlineLevel="2">
      <c r="A6" s="645">
        <v>1140428002</v>
      </c>
      <c r="B6" s="635" t="s">
        <v>1846</v>
      </c>
      <c r="C6" s="635" t="s">
        <v>1844</v>
      </c>
      <c r="D6" s="635">
        <v>114040</v>
      </c>
      <c r="E6" s="635" t="s">
        <v>1494</v>
      </c>
      <c r="F6" s="465" t="s">
        <v>1845</v>
      </c>
      <c r="G6" s="466">
        <v>1.5</v>
      </c>
      <c r="H6" s="466">
        <v>1.536</v>
      </c>
      <c r="I6" s="467">
        <v>1.508</v>
      </c>
      <c r="J6" s="468">
        <v>0.028</v>
      </c>
    </row>
    <row r="7" spans="1:10" ht="12.75" outlineLevel="2">
      <c r="A7" s="645">
        <v>1140428003</v>
      </c>
      <c r="B7" s="635" t="s">
        <v>1847</v>
      </c>
      <c r="C7" s="635" t="s">
        <v>1844</v>
      </c>
      <c r="D7" s="635">
        <v>114040</v>
      </c>
      <c r="E7" s="635" t="s">
        <v>1494</v>
      </c>
      <c r="F7" s="465" t="s">
        <v>1845</v>
      </c>
      <c r="G7" s="466">
        <v>0.07</v>
      </c>
      <c r="H7" s="466">
        <v>0.065</v>
      </c>
      <c r="I7" s="467">
        <v>0.064</v>
      </c>
      <c r="J7" s="468">
        <v>0.001</v>
      </c>
    </row>
    <row r="8" spans="1:10" ht="12.75" outlineLevel="2">
      <c r="A8" s="645">
        <v>1140428004</v>
      </c>
      <c r="B8" s="635" t="s">
        <v>1848</v>
      </c>
      <c r="C8" s="635" t="s">
        <v>1844</v>
      </c>
      <c r="D8" s="635">
        <v>114040</v>
      </c>
      <c r="E8" s="635" t="s">
        <v>1494</v>
      </c>
      <c r="F8" s="465" t="s">
        <v>1845</v>
      </c>
      <c r="G8" s="466">
        <v>0.24</v>
      </c>
      <c r="H8" s="466">
        <v>0.067</v>
      </c>
      <c r="I8" s="467">
        <v>0.053</v>
      </c>
      <c r="J8" s="468">
        <v>0.014</v>
      </c>
    </row>
    <row r="9" spans="1:10" ht="12.75" outlineLevel="2">
      <c r="A9" s="645">
        <v>1140428005</v>
      </c>
      <c r="B9" s="635" t="s">
        <v>1849</v>
      </c>
      <c r="C9" s="635" t="s">
        <v>1844</v>
      </c>
      <c r="D9" s="635">
        <v>114040</v>
      </c>
      <c r="E9" s="635" t="s">
        <v>1494</v>
      </c>
      <c r="F9" s="465" t="s">
        <v>1845</v>
      </c>
      <c r="G9" s="466">
        <v>0.8</v>
      </c>
      <c r="H9" s="466">
        <v>1.2</v>
      </c>
      <c r="I9" s="467">
        <v>1.181</v>
      </c>
      <c r="J9" s="468">
        <v>0.019</v>
      </c>
    </row>
    <row r="10" spans="1:10" ht="12.75" outlineLevel="2">
      <c r="A10" s="645">
        <v>1140428006</v>
      </c>
      <c r="B10" s="635" t="s">
        <v>1850</v>
      </c>
      <c r="C10" s="635" t="s">
        <v>1844</v>
      </c>
      <c r="D10" s="635">
        <v>114040</v>
      </c>
      <c r="E10" s="635" t="s">
        <v>1494</v>
      </c>
      <c r="F10" s="465" t="s">
        <v>1845</v>
      </c>
      <c r="G10" s="466">
        <v>3</v>
      </c>
      <c r="H10" s="466">
        <v>2.139</v>
      </c>
      <c r="I10" s="467">
        <v>2.083</v>
      </c>
      <c r="J10" s="468">
        <v>0.056</v>
      </c>
    </row>
    <row r="11" spans="1:10" ht="12.75" outlineLevel="2">
      <c r="A11" s="645">
        <v>1140428007</v>
      </c>
      <c r="B11" s="635" t="s">
        <v>1851</v>
      </c>
      <c r="C11" s="635" t="s">
        <v>1844</v>
      </c>
      <c r="D11" s="635">
        <v>114040</v>
      </c>
      <c r="E11" s="635" t="s">
        <v>1494</v>
      </c>
      <c r="F11" s="465" t="s">
        <v>1845</v>
      </c>
      <c r="G11" s="466">
        <v>9.923</v>
      </c>
      <c r="H11" s="466">
        <v>5.394</v>
      </c>
      <c r="I11" s="467">
        <v>5.394</v>
      </c>
      <c r="J11" s="468">
        <v>0</v>
      </c>
    </row>
    <row r="12" spans="1:10" ht="12.75" outlineLevel="2">
      <c r="A12" s="645">
        <v>1140428008</v>
      </c>
      <c r="B12" s="635" t="s">
        <v>1852</v>
      </c>
      <c r="C12" s="635" t="s">
        <v>1844</v>
      </c>
      <c r="D12" s="635">
        <v>114040</v>
      </c>
      <c r="E12" s="635" t="s">
        <v>1494</v>
      </c>
      <c r="F12" s="465" t="s">
        <v>1845</v>
      </c>
      <c r="G12" s="466">
        <v>1.5</v>
      </c>
      <c r="H12" s="466">
        <v>1.599</v>
      </c>
      <c r="I12" s="467">
        <v>1.599</v>
      </c>
      <c r="J12" s="468">
        <v>0</v>
      </c>
    </row>
    <row r="13" spans="1:10" ht="12.75" outlineLevel="2">
      <c r="A13" s="645">
        <v>1140428009</v>
      </c>
      <c r="B13" s="635" t="s">
        <v>95</v>
      </c>
      <c r="C13" s="635" t="s">
        <v>1844</v>
      </c>
      <c r="D13" s="635">
        <v>114040</v>
      </c>
      <c r="E13" s="635" t="s">
        <v>1494</v>
      </c>
      <c r="F13" s="465" t="s">
        <v>1845</v>
      </c>
      <c r="G13" s="466">
        <v>0</v>
      </c>
      <c r="H13" s="466">
        <v>0.069</v>
      </c>
      <c r="I13" s="467">
        <v>0.069</v>
      </c>
      <c r="J13" s="468">
        <v>0</v>
      </c>
    </row>
    <row r="14" spans="1:10" ht="12.75" outlineLevel="2">
      <c r="A14" s="645">
        <v>1140428009</v>
      </c>
      <c r="B14" s="635" t="s">
        <v>95</v>
      </c>
      <c r="C14" s="635" t="s">
        <v>1844</v>
      </c>
      <c r="D14" s="635">
        <v>114040</v>
      </c>
      <c r="E14" s="635" t="s">
        <v>1494</v>
      </c>
      <c r="F14" s="465" t="s">
        <v>96</v>
      </c>
      <c r="G14" s="466">
        <v>0.5</v>
      </c>
      <c r="H14" s="466">
        <v>0.43</v>
      </c>
      <c r="I14" s="467">
        <v>0.429</v>
      </c>
      <c r="J14" s="468">
        <v>0.001</v>
      </c>
    </row>
    <row r="15" spans="1:10" ht="12.75" outlineLevel="2">
      <c r="A15" s="645">
        <v>1140428010</v>
      </c>
      <c r="B15" s="635" t="s">
        <v>97</v>
      </c>
      <c r="C15" s="635" t="s">
        <v>1844</v>
      </c>
      <c r="D15" s="635">
        <v>114040</v>
      </c>
      <c r="E15" s="635" t="s">
        <v>1494</v>
      </c>
      <c r="F15" s="465" t="s">
        <v>96</v>
      </c>
      <c r="G15" s="466">
        <v>0.15</v>
      </c>
      <c r="H15" s="466">
        <v>0.158</v>
      </c>
      <c r="I15" s="467">
        <v>0.158</v>
      </c>
      <c r="J15" s="468">
        <v>0</v>
      </c>
    </row>
    <row r="16" spans="1:10" ht="12.75" outlineLevel="2">
      <c r="A16" s="645">
        <v>1140428011</v>
      </c>
      <c r="B16" s="635" t="s">
        <v>98</v>
      </c>
      <c r="C16" s="635" t="s">
        <v>1844</v>
      </c>
      <c r="D16" s="635">
        <v>114040</v>
      </c>
      <c r="E16" s="635" t="s">
        <v>1494</v>
      </c>
      <c r="F16" s="465" t="s">
        <v>96</v>
      </c>
      <c r="G16" s="466">
        <v>0.5</v>
      </c>
      <c r="H16" s="466">
        <v>0.2</v>
      </c>
      <c r="I16" s="467">
        <v>0.2</v>
      </c>
      <c r="J16" s="468">
        <v>0</v>
      </c>
    </row>
    <row r="17" spans="1:10" ht="12.75" outlineLevel="2">
      <c r="A17" s="645">
        <v>1140428012</v>
      </c>
      <c r="B17" s="635" t="s">
        <v>99</v>
      </c>
      <c r="C17" s="635" t="s">
        <v>1844</v>
      </c>
      <c r="D17" s="635">
        <v>114040</v>
      </c>
      <c r="E17" s="635" t="s">
        <v>1494</v>
      </c>
      <c r="F17" s="465" t="s">
        <v>96</v>
      </c>
      <c r="G17" s="466">
        <v>3.5</v>
      </c>
      <c r="H17" s="466">
        <v>3.682</v>
      </c>
      <c r="I17" s="467">
        <v>3.681</v>
      </c>
      <c r="J17" s="468">
        <v>0.001</v>
      </c>
    </row>
    <row r="18" spans="1:10" ht="12.75" outlineLevel="2">
      <c r="A18" s="645">
        <v>1140428013</v>
      </c>
      <c r="B18" s="635" t="s">
        <v>100</v>
      </c>
      <c r="C18" s="635" t="s">
        <v>1844</v>
      </c>
      <c r="D18" s="635">
        <v>114040</v>
      </c>
      <c r="E18" s="635" t="s">
        <v>1494</v>
      </c>
      <c r="F18" s="465" t="s">
        <v>96</v>
      </c>
      <c r="G18" s="466">
        <v>0.3</v>
      </c>
      <c r="H18" s="466">
        <v>0.336</v>
      </c>
      <c r="I18" s="467">
        <v>0.336</v>
      </c>
      <c r="J18" s="468">
        <v>0</v>
      </c>
    </row>
    <row r="19" spans="1:10" ht="12.75" outlineLevel="2">
      <c r="A19" s="645">
        <v>1140428014</v>
      </c>
      <c r="B19" s="635" t="s">
        <v>101</v>
      </c>
      <c r="C19" s="635" t="s">
        <v>1844</v>
      </c>
      <c r="D19" s="635">
        <v>114040</v>
      </c>
      <c r="E19" s="635" t="s">
        <v>1494</v>
      </c>
      <c r="F19" s="465" t="s">
        <v>96</v>
      </c>
      <c r="G19" s="466">
        <v>0.2</v>
      </c>
      <c r="H19" s="466">
        <v>0.197</v>
      </c>
      <c r="I19" s="467">
        <v>0.197</v>
      </c>
      <c r="J19" s="468">
        <v>0</v>
      </c>
    </row>
    <row r="20" spans="1:10" ht="12.75" outlineLevel="2">
      <c r="A20" s="645">
        <v>1140428015</v>
      </c>
      <c r="B20" s="635" t="s">
        <v>102</v>
      </c>
      <c r="C20" s="635" t="s">
        <v>1844</v>
      </c>
      <c r="D20" s="635">
        <v>114040</v>
      </c>
      <c r="E20" s="635" t="s">
        <v>1533</v>
      </c>
      <c r="F20" s="465" t="s">
        <v>96</v>
      </c>
      <c r="G20" s="466">
        <v>2</v>
      </c>
      <c r="H20" s="466">
        <v>0</v>
      </c>
      <c r="I20" s="467">
        <v>0</v>
      </c>
      <c r="J20" s="468">
        <v>0</v>
      </c>
    </row>
    <row r="21" spans="1:10" ht="12.75" outlineLevel="2">
      <c r="A21" s="645">
        <v>1140428016</v>
      </c>
      <c r="B21" s="635" t="s">
        <v>103</v>
      </c>
      <c r="C21" s="635" t="s">
        <v>1844</v>
      </c>
      <c r="D21" s="635">
        <v>114040</v>
      </c>
      <c r="E21" s="635" t="s">
        <v>1494</v>
      </c>
      <c r="F21" s="465" t="s">
        <v>96</v>
      </c>
      <c r="G21" s="466">
        <v>1.4</v>
      </c>
      <c r="H21" s="466">
        <v>1.287</v>
      </c>
      <c r="I21" s="467">
        <v>1.286</v>
      </c>
      <c r="J21" s="468">
        <v>0.001</v>
      </c>
    </row>
    <row r="22" spans="1:10" ht="12.75" outlineLevel="2">
      <c r="A22" s="645">
        <v>1140428017</v>
      </c>
      <c r="B22" s="635" t="s">
        <v>104</v>
      </c>
      <c r="C22" s="635" t="s">
        <v>1844</v>
      </c>
      <c r="D22" s="635">
        <v>114040</v>
      </c>
      <c r="E22" s="635" t="s">
        <v>1494</v>
      </c>
      <c r="F22" s="465" t="s">
        <v>96</v>
      </c>
      <c r="G22" s="466">
        <v>0.4</v>
      </c>
      <c r="H22" s="466">
        <v>0.16</v>
      </c>
      <c r="I22" s="467">
        <v>0.16</v>
      </c>
      <c r="J22" s="468">
        <v>0</v>
      </c>
    </row>
    <row r="23" spans="1:10" ht="12.75" outlineLevel="2">
      <c r="A23" s="645">
        <v>1140428018</v>
      </c>
      <c r="B23" s="635" t="s">
        <v>105</v>
      </c>
      <c r="C23" s="635" t="s">
        <v>1844</v>
      </c>
      <c r="D23" s="635">
        <v>114040</v>
      </c>
      <c r="E23" s="635" t="s">
        <v>1533</v>
      </c>
      <c r="F23" s="465" t="s">
        <v>96</v>
      </c>
      <c r="G23" s="466">
        <v>0.4</v>
      </c>
      <c r="H23" s="466">
        <v>0</v>
      </c>
      <c r="I23" s="467">
        <v>0</v>
      </c>
      <c r="J23" s="468">
        <v>0</v>
      </c>
    </row>
    <row r="24" spans="1:10" ht="12.75" outlineLevel="2">
      <c r="A24" s="645">
        <v>1140428019</v>
      </c>
      <c r="B24" s="635" t="s">
        <v>106</v>
      </c>
      <c r="C24" s="635" t="s">
        <v>1844</v>
      </c>
      <c r="D24" s="635">
        <v>114040</v>
      </c>
      <c r="E24" s="635" t="s">
        <v>1533</v>
      </c>
      <c r="F24" s="465" t="s">
        <v>96</v>
      </c>
      <c r="G24" s="466">
        <v>1</v>
      </c>
      <c r="H24" s="466">
        <v>0</v>
      </c>
      <c r="I24" s="467">
        <v>0</v>
      </c>
      <c r="J24" s="468">
        <v>0</v>
      </c>
    </row>
    <row r="25" spans="1:10" ht="12.75" outlineLevel="2">
      <c r="A25" s="645">
        <v>1140428020</v>
      </c>
      <c r="B25" s="635" t="s">
        <v>107</v>
      </c>
      <c r="C25" s="635" t="s">
        <v>1844</v>
      </c>
      <c r="D25" s="635">
        <v>114040</v>
      </c>
      <c r="E25" s="635" t="s">
        <v>1494</v>
      </c>
      <c r="F25" s="465" t="s">
        <v>96</v>
      </c>
      <c r="G25" s="466">
        <v>0.3</v>
      </c>
      <c r="H25" s="466">
        <v>0.609</v>
      </c>
      <c r="I25" s="467">
        <v>0.608</v>
      </c>
      <c r="J25" s="468">
        <v>0.001</v>
      </c>
    </row>
    <row r="26" spans="1:10" ht="12.75" outlineLevel="2">
      <c r="A26" s="645">
        <v>1140428021</v>
      </c>
      <c r="B26" s="635" t="s">
        <v>108</v>
      </c>
      <c r="C26" s="635" t="s">
        <v>1844</v>
      </c>
      <c r="D26" s="635">
        <v>114040</v>
      </c>
      <c r="E26" s="635" t="s">
        <v>1494</v>
      </c>
      <c r="F26" s="465" t="s">
        <v>96</v>
      </c>
      <c r="G26" s="466">
        <v>0.6</v>
      </c>
      <c r="H26" s="466">
        <v>0.097</v>
      </c>
      <c r="I26" s="467">
        <v>0.096</v>
      </c>
      <c r="J26" s="468">
        <v>0.001</v>
      </c>
    </row>
    <row r="27" spans="1:10" ht="12.75" outlineLevel="2">
      <c r="A27" s="645">
        <v>1140428022</v>
      </c>
      <c r="B27" s="635" t="s">
        <v>109</v>
      </c>
      <c r="C27" s="635" t="s">
        <v>1844</v>
      </c>
      <c r="D27" s="635">
        <v>114040</v>
      </c>
      <c r="E27" s="635" t="s">
        <v>1494</v>
      </c>
      <c r="F27" s="465" t="s">
        <v>96</v>
      </c>
      <c r="G27" s="466">
        <v>1.7</v>
      </c>
      <c r="H27" s="466">
        <v>1.084</v>
      </c>
      <c r="I27" s="467">
        <v>1.083</v>
      </c>
      <c r="J27" s="468">
        <v>0.001</v>
      </c>
    </row>
    <row r="28" spans="1:10" ht="12.75" outlineLevel="2">
      <c r="A28" s="645">
        <v>1140428023</v>
      </c>
      <c r="B28" s="635" t="s">
        <v>110</v>
      </c>
      <c r="C28" s="635" t="s">
        <v>1844</v>
      </c>
      <c r="D28" s="635">
        <v>114040</v>
      </c>
      <c r="E28" s="635" t="s">
        <v>1533</v>
      </c>
      <c r="F28" s="465" t="s">
        <v>96</v>
      </c>
      <c r="G28" s="466">
        <v>1.5</v>
      </c>
      <c r="H28" s="466">
        <v>0</v>
      </c>
      <c r="I28" s="467">
        <v>0</v>
      </c>
      <c r="J28" s="468">
        <v>0</v>
      </c>
    </row>
    <row r="29" spans="1:10" ht="12.75" outlineLevel="2">
      <c r="A29" s="645">
        <v>1140428024</v>
      </c>
      <c r="B29" s="635" t="s">
        <v>111</v>
      </c>
      <c r="C29" s="635" t="s">
        <v>1844</v>
      </c>
      <c r="D29" s="635">
        <v>114040</v>
      </c>
      <c r="E29" s="635" t="s">
        <v>1494</v>
      </c>
      <c r="F29" s="465" t="s">
        <v>96</v>
      </c>
      <c r="G29" s="466">
        <v>0.8</v>
      </c>
      <c r="H29" s="466">
        <v>0.873</v>
      </c>
      <c r="I29" s="467">
        <v>0.872</v>
      </c>
      <c r="J29" s="468">
        <v>0.001</v>
      </c>
    </row>
    <row r="30" spans="1:10" ht="12.75" outlineLevel="2">
      <c r="A30" s="645">
        <v>1140428025</v>
      </c>
      <c r="B30" s="635" t="s">
        <v>112</v>
      </c>
      <c r="C30" s="635" t="s">
        <v>1844</v>
      </c>
      <c r="D30" s="635">
        <v>114040</v>
      </c>
      <c r="E30" s="635" t="s">
        <v>1494</v>
      </c>
      <c r="F30" s="465" t="s">
        <v>96</v>
      </c>
      <c r="G30" s="466">
        <v>0.15</v>
      </c>
      <c r="H30" s="466">
        <v>0.146</v>
      </c>
      <c r="I30" s="467">
        <v>0.145</v>
      </c>
      <c r="J30" s="468">
        <v>0.001</v>
      </c>
    </row>
    <row r="31" spans="1:10" ht="12.75" outlineLevel="2">
      <c r="A31" s="645">
        <v>1140428026</v>
      </c>
      <c r="B31" s="635" t="s">
        <v>113</v>
      </c>
      <c r="C31" s="635" t="s">
        <v>1844</v>
      </c>
      <c r="D31" s="635">
        <v>114040</v>
      </c>
      <c r="E31" s="635" t="s">
        <v>1533</v>
      </c>
      <c r="F31" s="465" t="s">
        <v>96</v>
      </c>
      <c r="G31" s="466">
        <v>0.5</v>
      </c>
      <c r="H31" s="466">
        <v>0</v>
      </c>
      <c r="I31" s="467">
        <v>0</v>
      </c>
      <c r="J31" s="468">
        <v>0</v>
      </c>
    </row>
    <row r="32" spans="1:10" ht="12.75" outlineLevel="2">
      <c r="A32" s="645">
        <v>1140428027</v>
      </c>
      <c r="B32" s="635" t="s">
        <v>114</v>
      </c>
      <c r="C32" s="635" t="s">
        <v>1844</v>
      </c>
      <c r="D32" s="635">
        <v>114040</v>
      </c>
      <c r="E32" s="635" t="s">
        <v>1533</v>
      </c>
      <c r="F32" s="465" t="s">
        <v>96</v>
      </c>
      <c r="G32" s="466">
        <v>0.05</v>
      </c>
      <c r="H32" s="466">
        <v>0</v>
      </c>
      <c r="I32" s="467">
        <v>0</v>
      </c>
      <c r="J32" s="468">
        <v>0</v>
      </c>
    </row>
    <row r="33" spans="1:10" ht="12.75" outlineLevel="2">
      <c r="A33" s="645">
        <v>1140428028</v>
      </c>
      <c r="B33" s="635" t="s">
        <v>115</v>
      </c>
      <c r="C33" s="635" t="s">
        <v>1844</v>
      </c>
      <c r="D33" s="635">
        <v>114040</v>
      </c>
      <c r="E33" s="635" t="s">
        <v>1494</v>
      </c>
      <c r="F33" s="465" t="s">
        <v>96</v>
      </c>
      <c r="G33" s="466">
        <v>0.16</v>
      </c>
      <c r="H33" s="466">
        <v>0.002</v>
      </c>
      <c r="I33" s="467">
        <v>0.002</v>
      </c>
      <c r="J33" s="468">
        <v>0</v>
      </c>
    </row>
    <row r="34" spans="1:10" ht="12.75" outlineLevel="2">
      <c r="A34" s="645">
        <v>1140428029</v>
      </c>
      <c r="B34" s="635" t="s">
        <v>116</v>
      </c>
      <c r="C34" s="635" t="s">
        <v>1844</v>
      </c>
      <c r="D34" s="635">
        <v>114040</v>
      </c>
      <c r="E34" s="635" t="s">
        <v>1494</v>
      </c>
      <c r="F34" s="465" t="s">
        <v>1845</v>
      </c>
      <c r="G34" s="466">
        <v>0</v>
      </c>
      <c r="H34" s="466">
        <v>0.02</v>
      </c>
      <c r="I34" s="467">
        <v>0.019</v>
      </c>
      <c r="J34" s="468">
        <v>0.001</v>
      </c>
    </row>
    <row r="35" spans="1:10" ht="12.75" outlineLevel="2">
      <c r="A35" s="645">
        <v>1140428029</v>
      </c>
      <c r="B35" s="635" t="s">
        <v>116</v>
      </c>
      <c r="C35" s="635" t="s">
        <v>1844</v>
      </c>
      <c r="D35" s="635">
        <v>114040</v>
      </c>
      <c r="E35" s="635" t="s">
        <v>1494</v>
      </c>
      <c r="F35" s="465" t="s">
        <v>96</v>
      </c>
      <c r="G35" s="466">
        <v>0</v>
      </c>
      <c r="H35" s="466">
        <v>0.48</v>
      </c>
      <c r="I35" s="467">
        <v>0.478</v>
      </c>
      <c r="J35" s="468">
        <v>0.002</v>
      </c>
    </row>
    <row r="36" spans="1:10" ht="12.75" outlineLevel="2">
      <c r="A36" s="645">
        <v>1140428030</v>
      </c>
      <c r="B36" s="635" t="s">
        <v>117</v>
      </c>
      <c r="C36" s="635" t="s">
        <v>1844</v>
      </c>
      <c r="D36" s="635">
        <v>114040</v>
      </c>
      <c r="E36" s="635" t="s">
        <v>1494</v>
      </c>
      <c r="F36" s="465" t="s">
        <v>96</v>
      </c>
      <c r="G36" s="466">
        <v>0</v>
      </c>
      <c r="H36" s="466">
        <v>0.113</v>
      </c>
      <c r="I36" s="467">
        <v>0.113</v>
      </c>
      <c r="J36" s="468">
        <v>0</v>
      </c>
    </row>
    <row r="37" spans="1:10" ht="12.75" outlineLevel="2">
      <c r="A37" s="645">
        <v>1140428030</v>
      </c>
      <c r="B37" s="635" t="s">
        <v>117</v>
      </c>
      <c r="C37" s="635" t="s">
        <v>1844</v>
      </c>
      <c r="D37" s="635">
        <v>114040</v>
      </c>
      <c r="E37" s="635" t="s">
        <v>1494</v>
      </c>
      <c r="F37" s="465" t="s">
        <v>118</v>
      </c>
      <c r="G37" s="466">
        <v>0</v>
      </c>
      <c r="H37" s="466">
        <v>0.339</v>
      </c>
      <c r="I37" s="467">
        <v>0.338</v>
      </c>
      <c r="J37" s="468">
        <v>0.001</v>
      </c>
    </row>
    <row r="38" spans="1:10" ht="12.75" outlineLevel="2">
      <c r="A38" s="645">
        <v>1140428031</v>
      </c>
      <c r="B38" s="635" t="s">
        <v>119</v>
      </c>
      <c r="C38" s="635" t="s">
        <v>1844</v>
      </c>
      <c r="D38" s="635">
        <v>114040</v>
      </c>
      <c r="E38" s="635" t="s">
        <v>1494</v>
      </c>
      <c r="F38" s="465" t="s">
        <v>96</v>
      </c>
      <c r="G38" s="466">
        <v>0</v>
      </c>
      <c r="H38" s="466">
        <v>0.092</v>
      </c>
      <c r="I38" s="467">
        <v>0.092</v>
      </c>
      <c r="J38" s="468">
        <v>0</v>
      </c>
    </row>
    <row r="39" spans="1:10" ht="12.75" outlineLevel="2">
      <c r="A39" s="645">
        <v>1140448001</v>
      </c>
      <c r="B39" s="635" t="s">
        <v>120</v>
      </c>
      <c r="C39" s="635" t="s">
        <v>129</v>
      </c>
      <c r="D39" s="635">
        <v>114040</v>
      </c>
      <c r="E39" s="635" t="s">
        <v>1494</v>
      </c>
      <c r="F39" s="465" t="s">
        <v>96</v>
      </c>
      <c r="G39" s="466">
        <v>11.146</v>
      </c>
      <c r="H39" s="466">
        <v>11.252</v>
      </c>
      <c r="I39" s="467">
        <v>11.25</v>
      </c>
      <c r="J39" s="468">
        <v>0.002</v>
      </c>
    </row>
    <row r="40" spans="1:10" ht="12.75" outlineLevel="2">
      <c r="A40" s="645">
        <v>1140448002</v>
      </c>
      <c r="B40" s="635" t="s">
        <v>121</v>
      </c>
      <c r="C40" s="635" t="s">
        <v>129</v>
      </c>
      <c r="D40" s="635">
        <v>114040</v>
      </c>
      <c r="E40" s="635" t="s">
        <v>1533</v>
      </c>
      <c r="F40" s="465" t="s">
        <v>96</v>
      </c>
      <c r="G40" s="466">
        <v>15</v>
      </c>
      <c r="H40" s="466">
        <v>0</v>
      </c>
      <c r="I40" s="467">
        <v>0</v>
      </c>
      <c r="J40" s="468">
        <v>0</v>
      </c>
    </row>
    <row r="41" spans="1:10" ht="12.75" outlineLevel="2">
      <c r="A41" s="645">
        <v>1140448003</v>
      </c>
      <c r="B41" s="635" t="s">
        <v>122</v>
      </c>
      <c r="C41" s="635" t="s">
        <v>129</v>
      </c>
      <c r="D41" s="635">
        <v>114040</v>
      </c>
      <c r="E41" s="635" t="s">
        <v>1494</v>
      </c>
      <c r="F41" s="465" t="s">
        <v>96</v>
      </c>
      <c r="G41" s="466">
        <v>5.2</v>
      </c>
      <c r="H41" s="466">
        <v>14.156</v>
      </c>
      <c r="I41" s="467">
        <v>14.155</v>
      </c>
      <c r="J41" s="468">
        <v>0.001</v>
      </c>
    </row>
    <row r="42" spans="1:10" ht="12.75" outlineLevel="2">
      <c r="A42" s="645">
        <v>1140448004</v>
      </c>
      <c r="B42" s="635" t="s">
        <v>123</v>
      </c>
      <c r="C42" s="635" t="s">
        <v>129</v>
      </c>
      <c r="D42" s="635">
        <v>114040</v>
      </c>
      <c r="E42" s="635" t="s">
        <v>1494</v>
      </c>
      <c r="F42" s="465" t="s">
        <v>96</v>
      </c>
      <c r="G42" s="466">
        <v>0</v>
      </c>
      <c r="H42" s="466">
        <v>1.571</v>
      </c>
      <c r="I42" s="467">
        <v>1.571</v>
      </c>
      <c r="J42" s="468">
        <v>0</v>
      </c>
    </row>
    <row r="43" spans="1:10" ht="12.75" outlineLevel="2">
      <c r="A43" s="645">
        <v>1140448005</v>
      </c>
      <c r="B43" s="635" t="s">
        <v>124</v>
      </c>
      <c r="C43" s="635" t="s">
        <v>129</v>
      </c>
      <c r="D43" s="635">
        <v>114040</v>
      </c>
      <c r="E43" s="635" t="s">
        <v>1494</v>
      </c>
      <c r="F43" s="465" t="s">
        <v>96</v>
      </c>
      <c r="G43" s="466">
        <v>0</v>
      </c>
      <c r="H43" s="466">
        <v>2</v>
      </c>
      <c r="I43" s="467">
        <v>1.986</v>
      </c>
      <c r="J43" s="468">
        <v>0.014</v>
      </c>
    </row>
    <row r="44" spans="1:10" ht="12.75" outlineLevel="2">
      <c r="A44" s="645">
        <v>1140448006</v>
      </c>
      <c r="B44" s="635" t="s">
        <v>1003</v>
      </c>
      <c r="C44" s="635" t="s">
        <v>129</v>
      </c>
      <c r="D44" s="635">
        <v>114040</v>
      </c>
      <c r="E44" s="635" t="s">
        <v>1494</v>
      </c>
      <c r="F44" s="465" t="s">
        <v>96</v>
      </c>
      <c r="G44" s="466">
        <v>0</v>
      </c>
      <c r="H44" s="466">
        <v>14</v>
      </c>
      <c r="I44" s="467">
        <v>14</v>
      </c>
      <c r="J44" s="468">
        <v>0</v>
      </c>
    </row>
    <row r="45" spans="1:10" ht="12.75" outlineLevel="2">
      <c r="A45" s="645">
        <v>1140448007</v>
      </c>
      <c r="B45" s="635" t="s">
        <v>1004</v>
      </c>
      <c r="C45" s="635" t="s">
        <v>129</v>
      </c>
      <c r="D45" s="635">
        <v>114040</v>
      </c>
      <c r="E45" s="635" t="s">
        <v>1494</v>
      </c>
      <c r="F45" s="465" t="s">
        <v>96</v>
      </c>
      <c r="G45" s="466">
        <v>0</v>
      </c>
      <c r="H45" s="466">
        <v>0.25</v>
      </c>
      <c r="I45" s="467">
        <v>0.25</v>
      </c>
      <c r="J45" s="468">
        <v>0</v>
      </c>
    </row>
    <row r="46" spans="1:10" ht="12.75" outlineLevel="2">
      <c r="A46" s="645">
        <v>1140448008</v>
      </c>
      <c r="B46" s="635" t="s">
        <v>1005</v>
      </c>
      <c r="C46" s="635" t="s">
        <v>129</v>
      </c>
      <c r="D46" s="635">
        <v>114040</v>
      </c>
      <c r="E46" s="635" t="s">
        <v>1494</v>
      </c>
      <c r="F46" s="465" t="s">
        <v>96</v>
      </c>
      <c r="G46" s="466">
        <v>0</v>
      </c>
      <c r="H46" s="466">
        <v>3.045</v>
      </c>
      <c r="I46" s="467">
        <v>3.044</v>
      </c>
      <c r="J46" s="468">
        <v>0.001</v>
      </c>
    </row>
    <row r="47" spans="1:10" ht="12.75" outlineLevel="2">
      <c r="A47" s="645">
        <v>1140448011</v>
      </c>
      <c r="B47" s="635" t="s">
        <v>1006</v>
      </c>
      <c r="C47" s="635" t="s">
        <v>129</v>
      </c>
      <c r="D47" s="635">
        <v>114040</v>
      </c>
      <c r="E47" s="635" t="s">
        <v>1494</v>
      </c>
      <c r="F47" s="465" t="s">
        <v>96</v>
      </c>
      <c r="G47" s="466">
        <v>0</v>
      </c>
      <c r="H47" s="466">
        <v>1.1</v>
      </c>
      <c r="I47" s="467">
        <v>1.1</v>
      </c>
      <c r="J47" s="468">
        <v>0</v>
      </c>
    </row>
    <row r="48" spans="1:10" ht="12.75" outlineLevel="2">
      <c r="A48" s="645">
        <v>1140448014</v>
      </c>
      <c r="B48" s="635" t="s">
        <v>1007</v>
      </c>
      <c r="C48" s="635" t="s">
        <v>129</v>
      </c>
      <c r="D48" s="635">
        <v>114040</v>
      </c>
      <c r="E48" s="635" t="s">
        <v>1494</v>
      </c>
      <c r="F48" s="465" t="s">
        <v>96</v>
      </c>
      <c r="G48" s="466">
        <v>0</v>
      </c>
      <c r="H48" s="466">
        <v>3.5</v>
      </c>
      <c r="I48" s="467">
        <v>3.5</v>
      </c>
      <c r="J48" s="468">
        <v>0</v>
      </c>
    </row>
    <row r="49" spans="1:10" ht="12.75" outlineLevel="2">
      <c r="A49" s="645">
        <v>1140448015</v>
      </c>
      <c r="B49" s="635" t="s">
        <v>1008</v>
      </c>
      <c r="C49" s="635" t="s">
        <v>129</v>
      </c>
      <c r="D49" s="635">
        <v>114040</v>
      </c>
      <c r="E49" s="635" t="s">
        <v>1494</v>
      </c>
      <c r="F49" s="465" t="s">
        <v>96</v>
      </c>
      <c r="G49" s="466">
        <v>0</v>
      </c>
      <c r="H49" s="466">
        <v>8.315</v>
      </c>
      <c r="I49" s="467">
        <v>8.315</v>
      </c>
      <c r="J49" s="468">
        <v>0</v>
      </c>
    </row>
    <row r="50" spans="1:10" ht="13.5" outlineLevel="2" thickBot="1">
      <c r="A50" s="646">
        <v>1140468001</v>
      </c>
      <c r="B50" s="636" t="s">
        <v>1009</v>
      </c>
      <c r="C50" s="636" t="s">
        <v>133</v>
      </c>
      <c r="D50" s="636">
        <v>114040</v>
      </c>
      <c r="E50" s="636" t="s">
        <v>1494</v>
      </c>
      <c r="F50" s="469" t="s">
        <v>96</v>
      </c>
      <c r="G50" s="470">
        <v>0</v>
      </c>
      <c r="H50" s="470">
        <v>2.607</v>
      </c>
      <c r="I50" s="471">
        <v>2.607</v>
      </c>
      <c r="J50" s="472">
        <v>0</v>
      </c>
    </row>
    <row r="51" spans="1:10" s="149" customFormat="1" ht="13.5" outlineLevel="1" thickBot="1">
      <c r="A51" s="647" t="s">
        <v>1010</v>
      </c>
      <c r="B51" s="637"/>
      <c r="C51" s="637"/>
      <c r="D51" s="638"/>
      <c r="E51" s="637"/>
      <c r="F51" s="458"/>
      <c r="G51" s="459">
        <f>SUBTOTAL(9,G5:G50)</f>
        <v>66.98899999999999</v>
      </c>
      <c r="H51" s="459">
        <f>SUBTOTAL(9,H5:H50)</f>
        <v>85.23299999999999</v>
      </c>
      <c r="I51" s="473">
        <f>SUBTOTAL(9,I5:I50)</f>
        <v>85.06499999999998</v>
      </c>
      <c r="J51" s="474">
        <f>SUBTOTAL(9,J5:J50)</f>
        <v>0.16800000000000004</v>
      </c>
    </row>
    <row r="52" spans="1:10" ht="12.75" outlineLevel="2">
      <c r="A52" s="644">
        <v>1140518001</v>
      </c>
      <c r="B52" s="634" t="s">
        <v>1011</v>
      </c>
      <c r="C52" s="634" t="s">
        <v>1774</v>
      </c>
      <c r="D52" s="634"/>
      <c r="E52" s="634" t="s">
        <v>1494</v>
      </c>
      <c r="F52" s="461" t="s">
        <v>96</v>
      </c>
      <c r="G52" s="462">
        <v>0</v>
      </c>
      <c r="H52" s="462">
        <v>0.037</v>
      </c>
      <c r="I52" s="463">
        <v>0.037</v>
      </c>
      <c r="J52" s="464">
        <v>0</v>
      </c>
    </row>
    <row r="53" spans="1:10" ht="12.75" outlineLevel="2">
      <c r="A53" s="645">
        <v>1140518002</v>
      </c>
      <c r="B53" s="635" t="s">
        <v>1012</v>
      </c>
      <c r="C53" s="635" t="s">
        <v>1774</v>
      </c>
      <c r="D53" s="635"/>
      <c r="E53" s="635" t="s">
        <v>1494</v>
      </c>
      <c r="F53" s="465" t="s">
        <v>96</v>
      </c>
      <c r="G53" s="466">
        <v>0</v>
      </c>
      <c r="H53" s="466">
        <v>0.437</v>
      </c>
      <c r="I53" s="467">
        <v>0.437</v>
      </c>
      <c r="J53" s="468">
        <v>0</v>
      </c>
    </row>
    <row r="54" spans="1:10" ht="12.75" outlineLevel="2">
      <c r="A54" s="645">
        <v>1140518003</v>
      </c>
      <c r="B54" s="635" t="s">
        <v>1013</v>
      </c>
      <c r="C54" s="635" t="s">
        <v>1774</v>
      </c>
      <c r="D54" s="635"/>
      <c r="E54" s="635" t="s">
        <v>1494</v>
      </c>
      <c r="F54" s="465" t="s">
        <v>96</v>
      </c>
      <c r="G54" s="466">
        <v>0</v>
      </c>
      <c r="H54" s="466">
        <v>0.15</v>
      </c>
      <c r="I54" s="467">
        <v>0.15</v>
      </c>
      <c r="J54" s="468">
        <v>0</v>
      </c>
    </row>
    <row r="55" spans="1:10" ht="12.75" outlineLevel="2">
      <c r="A55" s="645">
        <v>1140518004</v>
      </c>
      <c r="B55" s="635" t="s">
        <v>1014</v>
      </c>
      <c r="C55" s="635" t="s">
        <v>1774</v>
      </c>
      <c r="D55" s="635"/>
      <c r="E55" s="635" t="s">
        <v>1494</v>
      </c>
      <c r="F55" s="465" t="s">
        <v>96</v>
      </c>
      <c r="G55" s="466">
        <v>0</v>
      </c>
      <c r="H55" s="466">
        <v>0.582</v>
      </c>
      <c r="I55" s="467">
        <v>0.582</v>
      </c>
      <c r="J55" s="468">
        <v>0</v>
      </c>
    </row>
    <row r="56" spans="1:10" ht="12.75" outlineLevel="2">
      <c r="A56" s="645">
        <v>1140518005</v>
      </c>
      <c r="B56" s="635" t="s">
        <v>1015</v>
      </c>
      <c r="C56" s="635" t="s">
        <v>1774</v>
      </c>
      <c r="D56" s="635"/>
      <c r="E56" s="635" t="s">
        <v>1494</v>
      </c>
      <c r="F56" s="465" t="s">
        <v>96</v>
      </c>
      <c r="G56" s="466">
        <v>0</v>
      </c>
      <c r="H56" s="466">
        <v>0.697</v>
      </c>
      <c r="I56" s="467">
        <v>0.697</v>
      </c>
      <c r="J56" s="468">
        <v>0</v>
      </c>
    </row>
    <row r="57" spans="1:10" ht="12.75" outlineLevel="2">
      <c r="A57" s="645">
        <v>1140518006</v>
      </c>
      <c r="B57" s="635" t="s">
        <v>1016</v>
      </c>
      <c r="C57" s="635" t="s">
        <v>1774</v>
      </c>
      <c r="D57" s="635"/>
      <c r="E57" s="635" t="s">
        <v>1494</v>
      </c>
      <c r="F57" s="465" t="s">
        <v>96</v>
      </c>
      <c r="G57" s="466">
        <v>0</v>
      </c>
      <c r="H57" s="466">
        <v>0.6</v>
      </c>
      <c r="I57" s="467">
        <v>0.6</v>
      </c>
      <c r="J57" s="468">
        <v>0</v>
      </c>
    </row>
    <row r="58" spans="1:10" ht="12.75" outlineLevel="2">
      <c r="A58" s="645">
        <v>1140518007</v>
      </c>
      <c r="B58" s="635" t="s">
        <v>1017</v>
      </c>
      <c r="C58" s="635" t="s">
        <v>1774</v>
      </c>
      <c r="D58" s="635"/>
      <c r="E58" s="635" t="s">
        <v>1494</v>
      </c>
      <c r="F58" s="465" t="s">
        <v>96</v>
      </c>
      <c r="G58" s="466">
        <v>0</v>
      </c>
      <c r="H58" s="466">
        <v>0.44</v>
      </c>
      <c r="I58" s="467">
        <v>0.44</v>
      </c>
      <c r="J58" s="468">
        <v>0</v>
      </c>
    </row>
    <row r="59" spans="1:10" ht="12.75" outlineLevel="2">
      <c r="A59" s="645">
        <v>1140518008</v>
      </c>
      <c r="B59" s="635" t="s">
        <v>1018</v>
      </c>
      <c r="C59" s="635" t="s">
        <v>1774</v>
      </c>
      <c r="D59" s="635"/>
      <c r="E59" s="635" t="s">
        <v>1494</v>
      </c>
      <c r="F59" s="465" t="s">
        <v>96</v>
      </c>
      <c r="G59" s="466">
        <v>0</v>
      </c>
      <c r="H59" s="466">
        <v>0.45</v>
      </c>
      <c r="I59" s="467">
        <v>0.45</v>
      </c>
      <c r="J59" s="468">
        <v>0</v>
      </c>
    </row>
    <row r="60" spans="1:10" ht="12.75" outlineLevel="2">
      <c r="A60" s="645">
        <v>1140518009</v>
      </c>
      <c r="B60" s="635" t="s">
        <v>1019</v>
      </c>
      <c r="C60" s="635" t="s">
        <v>1774</v>
      </c>
      <c r="D60" s="635"/>
      <c r="E60" s="635" t="s">
        <v>1494</v>
      </c>
      <c r="F60" s="465" t="s">
        <v>96</v>
      </c>
      <c r="G60" s="466">
        <v>0</v>
      </c>
      <c r="H60" s="466">
        <v>0.7</v>
      </c>
      <c r="I60" s="467">
        <v>0.7</v>
      </c>
      <c r="J60" s="468">
        <v>0</v>
      </c>
    </row>
    <row r="61" spans="1:10" ht="12.75" outlineLevel="2">
      <c r="A61" s="645">
        <v>1140518010</v>
      </c>
      <c r="B61" s="635" t="s">
        <v>1020</v>
      </c>
      <c r="C61" s="635" t="s">
        <v>1774</v>
      </c>
      <c r="D61" s="635"/>
      <c r="E61" s="635" t="s">
        <v>1494</v>
      </c>
      <c r="F61" s="465" t="s">
        <v>96</v>
      </c>
      <c r="G61" s="466">
        <v>0</v>
      </c>
      <c r="H61" s="466">
        <v>0.28</v>
      </c>
      <c r="I61" s="467">
        <v>0.28</v>
      </c>
      <c r="J61" s="468">
        <v>0</v>
      </c>
    </row>
    <row r="62" spans="1:10" ht="12.75" outlineLevel="2">
      <c r="A62" s="645">
        <v>1140518011</v>
      </c>
      <c r="B62" s="635" t="s">
        <v>1021</v>
      </c>
      <c r="C62" s="635" t="s">
        <v>1774</v>
      </c>
      <c r="D62" s="635"/>
      <c r="E62" s="635" t="s">
        <v>1494</v>
      </c>
      <c r="F62" s="465" t="s">
        <v>96</v>
      </c>
      <c r="G62" s="466">
        <v>0</v>
      </c>
      <c r="H62" s="466">
        <v>0.593</v>
      </c>
      <c r="I62" s="467">
        <v>0.593</v>
      </c>
      <c r="J62" s="468">
        <v>0</v>
      </c>
    </row>
    <row r="63" spans="1:10" ht="12.75" outlineLevel="2">
      <c r="A63" s="645">
        <v>1140518012</v>
      </c>
      <c r="B63" s="635" t="s">
        <v>1022</v>
      </c>
      <c r="C63" s="635" t="s">
        <v>1774</v>
      </c>
      <c r="D63" s="635"/>
      <c r="E63" s="635" t="s">
        <v>1494</v>
      </c>
      <c r="F63" s="465" t="s">
        <v>96</v>
      </c>
      <c r="G63" s="466">
        <v>0</v>
      </c>
      <c r="H63" s="466">
        <v>0.364</v>
      </c>
      <c r="I63" s="467">
        <v>0.364</v>
      </c>
      <c r="J63" s="468">
        <v>0</v>
      </c>
    </row>
    <row r="64" spans="1:10" ht="12.75" outlineLevel="2">
      <c r="A64" s="645">
        <v>1140518013</v>
      </c>
      <c r="B64" s="635" t="s">
        <v>1023</v>
      </c>
      <c r="C64" s="635" t="s">
        <v>1774</v>
      </c>
      <c r="D64" s="635"/>
      <c r="E64" s="635" t="s">
        <v>1494</v>
      </c>
      <c r="F64" s="465" t="s">
        <v>96</v>
      </c>
      <c r="G64" s="466">
        <v>0</v>
      </c>
      <c r="H64" s="466">
        <v>0.7</v>
      </c>
      <c r="I64" s="467">
        <v>0.7</v>
      </c>
      <c r="J64" s="468">
        <v>0</v>
      </c>
    </row>
    <row r="65" spans="1:10" ht="12.75" outlineLevel="2">
      <c r="A65" s="645">
        <v>1140518014</v>
      </c>
      <c r="B65" s="635" t="s">
        <v>1014</v>
      </c>
      <c r="C65" s="635" t="s">
        <v>1774</v>
      </c>
      <c r="D65" s="635"/>
      <c r="E65" s="635" t="s">
        <v>1494</v>
      </c>
      <c r="F65" s="465" t="s">
        <v>96</v>
      </c>
      <c r="G65" s="466">
        <v>0</v>
      </c>
      <c r="H65" s="466">
        <v>0.4</v>
      </c>
      <c r="I65" s="467">
        <v>0.4</v>
      </c>
      <c r="J65" s="468">
        <v>0</v>
      </c>
    </row>
    <row r="66" spans="1:10" ht="12.75" outlineLevel="2">
      <c r="A66" s="645">
        <v>1140518015</v>
      </c>
      <c r="B66" s="635" t="s">
        <v>1024</v>
      </c>
      <c r="C66" s="635" t="s">
        <v>1774</v>
      </c>
      <c r="D66" s="635"/>
      <c r="E66" s="635" t="s">
        <v>1494</v>
      </c>
      <c r="F66" s="465" t="s">
        <v>96</v>
      </c>
      <c r="G66" s="466">
        <v>0</v>
      </c>
      <c r="H66" s="466">
        <v>0.7</v>
      </c>
      <c r="I66" s="467">
        <v>0.7</v>
      </c>
      <c r="J66" s="468">
        <v>0</v>
      </c>
    </row>
    <row r="67" spans="1:10" ht="12.75" outlineLevel="2">
      <c r="A67" s="645">
        <v>1140518016</v>
      </c>
      <c r="B67" s="635" t="s">
        <v>1025</v>
      </c>
      <c r="C67" s="635" t="s">
        <v>1774</v>
      </c>
      <c r="D67" s="635"/>
      <c r="E67" s="635" t="s">
        <v>1494</v>
      </c>
      <c r="F67" s="465" t="s">
        <v>96</v>
      </c>
      <c r="G67" s="466">
        <v>0</v>
      </c>
      <c r="H67" s="466">
        <v>0.405</v>
      </c>
      <c r="I67" s="467">
        <v>0.405</v>
      </c>
      <c r="J67" s="468">
        <v>0</v>
      </c>
    </row>
    <row r="68" spans="1:10" ht="12.75" outlineLevel="2">
      <c r="A68" s="645">
        <v>1140518017</v>
      </c>
      <c r="B68" s="635" t="s">
        <v>1026</v>
      </c>
      <c r="C68" s="635" t="s">
        <v>1774</v>
      </c>
      <c r="D68" s="635"/>
      <c r="E68" s="635" t="s">
        <v>1494</v>
      </c>
      <c r="F68" s="465" t="s">
        <v>96</v>
      </c>
      <c r="G68" s="466">
        <v>0</v>
      </c>
      <c r="H68" s="466">
        <v>0.398</v>
      </c>
      <c r="I68" s="467">
        <v>0.398</v>
      </c>
      <c r="J68" s="468">
        <v>0</v>
      </c>
    </row>
    <row r="69" spans="1:10" ht="12.75" outlineLevel="2">
      <c r="A69" s="645">
        <v>1140518018</v>
      </c>
      <c r="B69" s="635" t="s">
        <v>1027</v>
      </c>
      <c r="C69" s="635" t="s">
        <v>1774</v>
      </c>
      <c r="D69" s="635"/>
      <c r="E69" s="635" t="s">
        <v>1494</v>
      </c>
      <c r="F69" s="465" t="s">
        <v>96</v>
      </c>
      <c r="G69" s="466">
        <v>0</v>
      </c>
      <c r="H69" s="466">
        <v>0.558</v>
      </c>
      <c r="I69" s="467">
        <v>0.558</v>
      </c>
      <c r="J69" s="468">
        <v>0</v>
      </c>
    </row>
    <row r="70" spans="1:10" ht="12.75" outlineLevel="2">
      <c r="A70" s="645">
        <v>1140518019</v>
      </c>
      <c r="B70" s="635" t="s">
        <v>1028</v>
      </c>
      <c r="C70" s="635" t="s">
        <v>1774</v>
      </c>
      <c r="D70" s="635"/>
      <c r="E70" s="635" t="s">
        <v>1494</v>
      </c>
      <c r="F70" s="465" t="s">
        <v>96</v>
      </c>
      <c r="G70" s="466">
        <v>0</v>
      </c>
      <c r="H70" s="466">
        <v>0.35</v>
      </c>
      <c r="I70" s="467">
        <v>0.35</v>
      </c>
      <c r="J70" s="468">
        <v>0</v>
      </c>
    </row>
    <row r="71" spans="1:10" ht="12.75" outlineLevel="2">
      <c r="A71" s="645">
        <v>1140518020</v>
      </c>
      <c r="B71" s="635" t="s">
        <v>1029</v>
      </c>
      <c r="C71" s="635" t="s">
        <v>1774</v>
      </c>
      <c r="D71" s="635"/>
      <c r="E71" s="635" t="s">
        <v>1494</v>
      </c>
      <c r="F71" s="465" t="s">
        <v>96</v>
      </c>
      <c r="G71" s="466">
        <v>0</v>
      </c>
      <c r="H71" s="466">
        <v>0.172</v>
      </c>
      <c r="I71" s="467">
        <v>0.172</v>
      </c>
      <c r="J71" s="468">
        <v>0</v>
      </c>
    </row>
    <row r="72" spans="1:10" ht="12.75" outlineLevel="2">
      <c r="A72" s="645">
        <v>1140518021</v>
      </c>
      <c r="B72" s="635" t="s">
        <v>1014</v>
      </c>
      <c r="C72" s="635" t="s">
        <v>1774</v>
      </c>
      <c r="D72" s="635"/>
      <c r="E72" s="635" t="s">
        <v>1494</v>
      </c>
      <c r="F72" s="465" t="s">
        <v>96</v>
      </c>
      <c r="G72" s="466">
        <v>0</v>
      </c>
      <c r="H72" s="466">
        <v>1.5</v>
      </c>
      <c r="I72" s="467">
        <v>1.5</v>
      </c>
      <c r="J72" s="468">
        <v>0</v>
      </c>
    </row>
    <row r="73" spans="1:10" ht="12.75" outlineLevel="2">
      <c r="A73" s="645">
        <v>1140518022</v>
      </c>
      <c r="B73" s="635" t="s">
        <v>1030</v>
      </c>
      <c r="C73" s="635" t="s">
        <v>1774</v>
      </c>
      <c r="D73" s="635"/>
      <c r="E73" s="635" t="s">
        <v>1494</v>
      </c>
      <c r="F73" s="465" t="s">
        <v>96</v>
      </c>
      <c r="G73" s="466">
        <v>0</v>
      </c>
      <c r="H73" s="466">
        <v>0.636</v>
      </c>
      <c r="I73" s="467">
        <v>0.636</v>
      </c>
      <c r="J73" s="468">
        <v>0</v>
      </c>
    </row>
    <row r="74" spans="1:10" ht="12.75" outlineLevel="2">
      <c r="A74" s="645">
        <v>1140518023</v>
      </c>
      <c r="B74" s="635" t="s">
        <v>1031</v>
      </c>
      <c r="C74" s="635" t="s">
        <v>1774</v>
      </c>
      <c r="D74" s="635"/>
      <c r="E74" s="635" t="s">
        <v>1494</v>
      </c>
      <c r="F74" s="465" t="s">
        <v>96</v>
      </c>
      <c r="G74" s="466">
        <v>0</v>
      </c>
      <c r="H74" s="466">
        <v>0.59</v>
      </c>
      <c r="I74" s="467">
        <v>0.59</v>
      </c>
      <c r="J74" s="468">
        <v>0</v>
      </c>
    </row>
    <row r="75" spans="1:10" ht="12.75" outlineLevel="2">
      <c r="A75" s="645">
        <v>1140518024</v>
      </c>
      <c r="B75" s="635" t="s">
        <v>1032</v>
      </c>
      <c r="C75" s="635" t="s">
        <v>1774</v>
      </c>
      <c r="D75" s="635"/>
      <c r="E75" s="635" t="s">
        <v>1494</v>
      </c>
      <c r="F75" s="465" t="s">
        <v>96</v>
      </c>
      <c r="G75" s="466">
        <v>0</v>
      </c>
      <c r="H75" s="466">
        <v>0.65</v>
      </c>
      <c r="I75" s="467">
        <v>0.65</v>
      </c>
      <c r="J75" s="468">
        <v>0</v>
      </c>
    </row>
    <row r="76" spans="1:10" ht="12.75" outlineLevel="2">
      <c r="A76" s="645">
        <v>1140518025</v>
      </c>
      <c r="B76" s="635" t="s">
        <v>1033</v>
      </c>
      <c r="C76" s="635" t="s">
        <v>1774</v>
      </c>
      <c r="D76" s="635"/>
      <c r="E76" s="635" t="s">
        <v>1494</v>
      </c>
      <c r="F76" s="465" t="s">
        <v>96</v>
      </c>
      <c r="G76" s="466">
        <v>0</v>
      </c>
      <c r="H76" s="466">
        <v>0.64</v>
      </c>
      <c r="I76" s="467">
        <v>0.64</v>
      </c>
      <c r="J76" s="468">
        <v>0</v>
      </c>
    </row>
    <row r="77" spans="1:10" ht="12.75" outlineLevel="2">
      <c r="A77" s="645">
        <v>1140518026</v>
      </c>
      <c r="B77" s="635" t="s">
        <v>1034</v>
      </c>
      <c r="C77" s="635" t="s">
        <v>1774</v>
      </c>
      <c r="D77" s="635"/>
      <c r="E77" s="635" t="s">
        <v>1494</v>
      </c>
      <c r="F77" s="465" t="s">
        <v>96</v>
      </c>
      <c r="G77" s="466">
        <v>0</v>
      </c>
      <c r="H77" s="466">
        <v>0.439</v>
      </c>
      <c r="I77" s="467">
        <v>0.439</v>
      </c>
      <c r="J77" s="468">
        <v>0</v>
      </c>
    </row>
    <row r="78" spans="1:10" ht="12.75" outlineLevel="2">
      <c r="A78" s="645">
        <v>1140518027</v>
      </c>
      <c r="B78" s="635" t="s">
        <v>1035</v>
      </c>
      <c r="C78" s="635" t="s">
        <v>1774</v>
      </c>
      <c r="D78" s="635"/>
      <c r="E78" s="635" t="s">
        <v>1494</v>
      </c>
      <c r="F78" s="465" t="s">
        <v>96</v>
      </c>
      <c r="G78" s="466">
        <v>0</v>
      </c>
      <c r="H78" s="466">
        <v>0.458</v>
      </c>
      <c r="I78" s="467">
        <v>0.458</v>
      </c>
      <c r="J78" s="468">
        <v>0</v>
      </c>
    </row>
    <row r="79" spans="1:10" ht="12.75" outlineLevel="2">
      <c r="A79" s="645">
        <v>1140518028</v>
      </c>
      <c r="B79" s="635" t="s">
        <v>1036</v>
      </c>
      <c r="C79" s="635" t="s">
        <v>1774</v>
      </c>
      <c r="D79" s="635"/>
      <c r="E79" s="635" t="s">
        <v>1494</v>
      </c>
      <c r="F79" s="465" t="s">
        <v>96</v>
      </c>
      <c r="G79" s="466">
        <v>0</v>
      </c>
      <c r="H79" s="466">
        <v>0.343</v>
      </c>
      <c r="I79" s="467">
        <v>0.343</v>
      </c>
      <c r="J79" s="468">
        <v>0</v>
      </c>
    </row>
    <row r="80" spans="1:10" ht="12.75" outlineLevel="2">
      <c r="A80" s="645">
        <v>1140518029</v>
      </c>
      <c r="B80" s="635" t="s">
        <v>1037</v>
      </c>
      <c r="C80" s="635" t="s">
        <v>1774</v>
      </c>
      <c r="D80" s="635"/>
      <c r="E80" s="635" t="s">
        <v>1494</v>
      </c>
      <c r="F80" s="465" t="s">
        <v>96</v>
      </c>
      <c r="G80" s="466">
        <v>0</v>
      </c>
      <c r="H80" s="466">
        <v>0.355</v>
      </c>
      <c r="I80" s="467">
        <v>0.355</v>
      </c>
      <c r="J80" s="468">
        <v>0</v>
      </c>
    </row>
    <row r="81" spans="1:10" ht="12.75" outlineLevel="2">
      <c r="A81" s="645">
        <v>1140518030</v>
      </c>
      <c r="B81" s="635" t="s">
        <v>1038</v>
      </c>
      <c r="C81" s="635" t="s">
        <v>1774</v>
      </c>
      <c r="D81" s="635"/>
      <c r="E81" s="635" t="s">
        <v>1494</v>
      </c>
      <c r="F81" s="465" t="s">
        <v>96</v>
      </c>
      <c r="G81" s="466">
        <v>0</v>
      </c>
      <c r="H81" s="466">
        <v>0.295</v>
      </c>
      <c r="I81" s="467">
        <v>0.295</v>
      </c>
      <c r="J81" s="468">
        <v>0</v>
      </c>
    </row>
    <row r="82" spans="1:10" ht="12.75" outlineLevel="2">
      <c r="A82" s="645">
        <v>1140518031</v>
      </c>
      <c r="B82" s="635" t="s">
        <v>1039</v>
      </c>
      <c r="C82" s="635" t="s">
        <v>1774</v>
      </c>
      <c r="D82" s="635"/>
      <c r="E82" s="635" t="s">
        <v>1494</v>
      </c>
      <c r="F82" s="465" t="s">
        <v>96</v>
      </c>
      <c r="G82" s="466">
        <v>0</v>
      </c>
      <c r="H82" s="466">
        <v>0.613</v>
      </c>
      <c r="I82" s="467">
        <v>0.613</v>
      </c>
      <c r="J82" s="468">
        <v>0</v>
      </c>
    </row>
    <row r="83" spans="1:10" ht="12.75" outlineLevel="2">
      <c r="A83" s="645">
        <v>1140518032</v>
      </c>
      <c r="B83" s="635" t="s">
        <v>1040</v>
      </c>
      <c r="C83" s="635" t="s">
        <v>1774</v>
      </c>
      <c r="D83" s="635"/>
      <c r="E83" s="635" t="s">
        <v>1494</v>
      </c>
      <c r="F83" s="465" t="s">
        <v>96</v>
      </c>
      <c r="G83" s="466">
        <v>0</v>
      </c>
      <c r="H83" s="466">
        <v>0.763</v>
      </c>
      <c r="I83" s="467">
        <v>0.763</v>
      </c>
      <c r="J83" s="468">
        <v>0</v>
      </c>
    </row>
    <row r="84" spans="1:10" ht="12.75" outlineLevel="2">
      <c r="A84" s="645">
        <v>1140518033</v>
      </c>
      <c r="B84" s="635" t="s">
        <v>1014</v>
      </c>
      <c r="C84" s="635" t="s">
        <v>1774</v>
      </c>
      <c r="D84" s="635"/>
      <c r="E84" s="635" t="s">
        <v>1494</v>
      </c>
      <c r="F84" s="465" t="s">
        <v>96</v>
      </c>
      <c r="G84" s="466">
        <v>0</v>
      </c>
      <c r="H84" s="466">
        <v>1.497</v>
      </c>
      <c r="I84" s="467">
        <v>1.497</v>
      </c>
      <c r="J84" s="468">
        <v>0</v>
      </c>
    </row>
    <row r="85" spans="1:10" ht="12.75" outlineLevel="2">
      <c r="A85" s="645">
        <v>1140518034</v>
      </c>
      <c r="B85" s="635" t="s">
        <v>1041</v>
      </c>
      <c r="C85" s="635" t="s">
        <v>1774</v>
      </c>
      <c r="D85" s="635"/>
      <c r="E85" s="635" t="s">
        <v>1494</v>
      </c>
      <c r="F85" s="465" t="s">
        <v>96</v>
      </c>
      <c r="G85" s="466">
        <v>0</v>
      </c>
      <c r="H85" s="466">
        <v>0.128</v>
      </c>
      <c r="I85" s="467">
        <v>0.128</v>
      </c>
      <c r="J85" s="468">
        <v>0</v>
      </c>
    </row>
    <row r="86" spans="1:10" ht="12.75" outlineLevel="2">
      <c r="A86" s="645">
        <v>1140518035</v>
      </c>
      <c r="B86" s="635" t="s">
        <v>1042</v>
      </c>
      <c r="C86" s="635" t="s">
        <v>1774</v>
      </c>
      <c r="D86" s="635"/>
      <c r="E86" s="635" t="s">
        <v>1494</v>
      </c>
      <c r="F86" s="465" t="s">
        <v>96</v>
      </c>
      <c r="G86" s="466">
        <v>0</v>
      </c>
      <c r="H86" s="466">
        <v>0.03</v>
      </c>
      <c r="I86" s="467">
        <v>0.03</v>
      </c>
      <c r="J86" s="468">
        <v>0</v>
      </c>
    </row>
    <row r="87" spans="1:10" ht="12.75" outlineLevel="2">
      <c r="A87" s="645">
        <v>1140518036</v>
      </c>
      <c r="B87" s="635" t="s">
        <v>1043</v>
      </c>
      <c r="C87" s="635" t="s">
        <v>1774</v>
      </c>
      <c r="D87" s="635"/>
      <c r="E87" s="635" t="s">
        <v>1494</v>
      </c>
      <c r="F87" s="465" t="s">
        <v>96</v>
      </c>
      <c r="G87" s="466">
        <v>0</v>
      </c>
      <c r="H87" s="466">
        <v>0.584</v>
      </c>
      <c r="I87" s="467">
        <v>0.584</v>
      </c>
      <c r="J87" s="468">
        <v>0</v>
      </c>
    </row>
    <row r="88" spans="1:10" ht="12.75" outlineLevel="2">
      <c r="A88" s="645">
        <v>1140518037</v>
      </c>
      <c r="B88" s="635" t="s">
        <v>1044</v>
      </c>
      <c r="C88" s="635" t="s">
        <v>1774</v>
      </c>
      <c r="D88" s="635"/>
      <c r="E88" s="635" t="s">
        <v>1494</v>
      </c>
      <c r="F88" s="465" t="s">
        <v>96</v>
      </c>
      <c r="G88" s="466">
        <v>0</v>
      </c>
      <c r="H88" s="466">
        <v>0.8</v>
      </c>
      <c r="I88" s="467">
        <v>0.8</v>
      </c>
      <c r="J88" s="468">
        <v>0</v>
      </c>
    </row>
    <row r="89" spans="1:10" ht="12.75" outlineLevel="2">
      <c r="A89" s="645">
        <v>1140518038</v>
      </c>
      <c r="B89" s="635" t="s">
        <v>1045</v>
      </c>
      <c r="C89" s="635" t="s">
        <v>1774</v>
      </c>
      <c r="D89" s="635"/>
      <c r="E89" s="635" t="s">
        <v>1494</v>
      </c>
      <c r="F89" s="465" t="s">
        <v>96</v>
      </c>
      <c r="G89" s="466">
        <v>0</v>
      </c>
      <c r="H89" s="466">
        <v>0.34</v>
      </c>
      <c r="I89" s="467">
        <v>0.34</v>
      </c>
      <c r="J89" s="468">
        <v>0</v>
      </c>
    </row>
    <row r="90" spans="1:10" ht="12.75" outlineLevel="2">
      <c r="A90" s="645">
        <v>1140518039</v>
      </c>
      <c r="B90" s="635" t="s">
        <v>1046</v>
      </c>
      <c r="C90" s="635" t="s">
        <v>1774</v>
      </c>
      <c r="D90" s="635"/>
      <c r="E90" s="635" t="s">
        <v>1494</v>
      </c>
      <c r="F90" s="465" t="s">
        <v>96</v>
      </c>
      <c r="G90" s="466">
        <v>0</v>
      </c>
      <c r="H90" s="466">
        <v>0.176</v>
      </c>
      <c r="I90" s="467">
        <v>0.176</v>
      </c>
      <c r="J90" s="468">
        <v>0</v>
      </c>
    </row>
    <row r="91" spans="1:10" ht="12.75" outlineLevel="2">
      <c r="A91" s="645">
        <v>1140518040</v>
      </c>
      <c r="B91" s="635" t="s">
        <v>1047</v>
      </c>
      <c r="C91" s="635" t="s">
        <v>1774</v>
      </c>
      <c r="D91" s="635"/>
      <c r="E91" s="635" t="s">
        <v>1494</v>
      </c>
      <c r="F91" s="465" t="s">
        <v>96</v>
      </c>
      <c r="G91" s="466">
        <v>0</v>
      </c>
      <c r="H91" s="466">
        <v>0.72</v>
      </c>
      <c r="I91" s="467">
        <v>0.72</v>
      </c>
      <c r="J91" s="468">
        <v>0</v>
      </c>
    </row>
    <row r="92" spans="1:10" ht="12.75" outlineLevel="2">
      <c r="A92" s="645">
        <v>1140518041</v>
      </c>
      <c r="B92" s="635" t="s">
        <v>1048</v>
      </c>
      <c r="C92" s="635" t="s">
        <v>1774</v>
      </c>
      <c r="D92" s="635"/>
      <c r="E92" s="635" t="s">
        <v>1494</v>
      </c>
      <c r="F92" s="465" t="s">
        <v>96</v>
      </c>
      <c r="G92" s="466">
        <v>0</v>
      </c>
      <c r="H92" s="466">
        <v>0.472</v>
      </c>
      <c r="I92" s="467">
        <v>0.472</v>
      </c>
      <c r="J92" s="468">
        <v>0</v>
      </c>
    </row>
    <row r="93" spans="1:10" ht="12.75" outlineLevel="2">
      <c r="A93" s="645">
        <v>1140518042</v>
      </c>
      <c r="B93" s="635" t="s">
        <v>1049</v>
      </c>
      <c r="C93" s="635" t="s">
        <v>1774</v>
      </c>
      <c r="D93" s="635"/>
      <c r="E93" s="635" t="s">
        <v>1494</v>
      </c>
      <c r="F93" s="465" t="s">
        <v>96</v>
      </c>
      <c r="G93" s="466">
        <v>0</v>
      </c>
      <c r="H93" s="466">
        <v>0.35</v>
      </c>
      <c r="I93" s="467">
        <v>0.35</v>
      </c>
      <c r="J93" s="468">
        <v>0</v>
      </c>
    </row>
    <row r="94" spans="1:10" ht="12.75" outlineLevel="2">
      <c r="A94" s="645">
        <v>1140518043</v>
      </c>
      <c r="B94" s="635" t="s">
        <v>1014</v>
      </c>
      <c r="C94" s="635" t="s">
        <v>1774</v>
      </c>
      <c r="D94" s="635"/>
      <c r="E94" s="635" t="s">
        <v>1494</v>
      </c>
      <c r="F94" s="465" t="s">
        <v>96</v>
      </c>
      <c r="G94" s="466">
        <v>0</v>
      </c>
      <c r="H94" s="466">
        <v>1.391</v>
      </c>
      <c r="I94" s="467">
        <v>1.391</v>
      </c>
      <c r="J94" s="468">
        <v>0</v>
      </c>
    </row>
    <row r="95" spans="1:10" ht="12.75" outlineLevel="2">
      <c r="A95" s="645">
        <v>1140518044</v>
      </c>
      <c r="B95" s="635" t="s">
        <v>1050</v>
      </c>
      <c r="C95" s="635" t="s">
        <v>1774</v>
      </c>
      <c r="D95" s="635"/>
      <c r="E95" s="635" t="s">
        <v>1494</v>
      </c>
      <c r="F95" s="465" t="s">
        <v>96</v>
      </c>
      <c r="G95" s="466">
        <v>0</v>
      </c>
      <c r="H95" s="466">
        <v>1</v>
      </c>
      <c r="I95" s="467">
        <v>1</v>
      </c>
      <c r="J95" s="468">
        <v>0</v>
      </c>
    </row>
    <row r="96" spans="1:10" ht="12.75" outlineLevel="2">
      <c r="A96" s="645">
        <v>1140518045</v>
      </c>
      <c r="B96" s="635" t="s">
        <v>1051</v>
      </c>
      <c r="C96" s="635" t="s">
        <v>1774</v>
      </c>
      <c r="D96" s="635"/>
      <c r="E96" s="635" t="s">
        <v>1494</v>
      </c>
      <c r="F96" s="465" t="s">
        <v>96</v>
      </c>
      <c r="G96" s="466">
        <v>0</v>
      </c>
      <c r="H96" s="466">
        <v>0.66</v>
      </c>
      <c r="I96" s="467">
        <v>0.66</v>
      </c>
      <c r="J96" s="468">
        <v>0</v>
      </c>
    </row>
    <row r="97" spans="1:10" ht="12.75" outlineLevel="2">
      <c r="A97" s="645">
        <v>1140518046</v>
      </c>
      <c r="B97" s="635" t="s">
        <v>1013</v>
      </c>
      <c r="C97" s="635" t="s">
        <v>1774</v>
      </c>
      <c r="D97" s="635"/>
      <c r="E97" s="635" t="s">
        <v>1494</v>
      </c>
      <c r="F97" s="465" t="s">
        <v>96</v>
      </c>
      <c r="G97" s="466">
        <v>0</v>
      </c>
      <c r="H97" s="466">
        <v>0.7</v>
      </c>
      <c r="I97" s="467">
        <v>0.7</v>
      </c>
      <c r="J97" s="468">
        <v>0</v>
      </c>
    </row>
    <row r="98" spans="1:10" ht="12.75" outlineLevel="2">
      <c r="A98" s="645">
        <v>1140518047</v>
      </c>
      <c r="B98" s="635" t="s">
        <v>1052</v>
      </c>
      <c r="C98" s="635" t="s">
        <v>1774</v>
      </c>
      <c r="D98" s="635"/>
      <c r="E98" s="635" t="s">
        <v>1494</v>
      </c>
      <c r="F98" s="465" t="s">
        <v>96</v>
      </c>
      <c r="G98" s="466">
        <v>0</v>
      </c>
      <c r="H98" s="466">
        <v>0.796</v>
      </c>
      <c r="I98" s="467">
        <v>0</v>
      </c>
      <c r="J98" s="468">
        <v>0.796</v>
      </c>
    </row>
    <row r="99" spans="1:10" ht="12.75" outlineLevel="2">
      <c r="A99" s="645">
        <v>1140518048</v>
      </c>
      <c r="B99" s="635" t="s">
        <v>1053</v>
      </c>
      <c r="C99" s="635" t="s">
        <v>1774</v>
      </c>
      <c r="D99" s="635"/>
      <c r="E99" s="635" t="s">
        <v>1494</v>
      </c>
      <c r="F99" s="465" t="s">
        <v>96</v>
      </c>
      <c r="G99" s="466">
        <v>0</v>
      </c>
      <c r="H99" s="466">
        <v>0.695</v>
      </c>
      <c r="I99" s="467">
        <v>0.695</v>
      </c>
      <c r="J99" s="468">
        <v>0</v>
      </c>
    </row>
    <row r="100" spans="1:10" ht="12.75" outlineLevel="2">
      <c r="A100" s="645">
        <v>1140518049</v>
      </c>
      <c r="B100" s="635" t="s">
        <v>1054</v>
      </c>
      <c r="C100" s="635" t="s">
        <v>1774</v>
      </c>
      <c r="D100" s="635"/>
      <c r="E100" s="635" t="s">
        <v>1494</v>
      </c>
      <c r="F100" s="465" t="s">
        <v>96</v>
      </c>
      <c r="G100" s="466">
        <v>0</v>
      </c>
      <c r="H100" s="466">
        <v>0.26</v>
      </c>
      <c r="I100" s="467">
        <v>0.26</v>
      </c>
      <c r="J100" s="468">
        <v>0</v>
      </c>
    </row>
    <row r="101" spans="1:10" ht="12.75" outlineLevel="2">
      <c r="A101" s="645">
        <v>1140518050</v>
      </c>
      <c r="B101" s="635" t="s">
        <v>1055</v>
      </c>
      <c r="C101" s="635" t="s">
        <v>1774</v>
      </c>
      <c r="D101" s="635"/>
      <c r="E101" s="635" t="s">
        <v>1494</v>
      </c>
      <c r="F101" s="465" t="s">
        <v>96</v>
      </c>
      <c r="G101" s="466">
        <v>0</v>
      </c>
      <c r="H101" s="466">
        <v>0.8</v>
      </c>
      <c r="I101" s="467">
        <v>0.8</v>
      </c>
      <c r="J101" s="468">
        <v>0</v>
      </c>
    </row>
    <row r="102" spans="1:10" ht="12.75" outlineLevel="2">
      <c r="A102" s="645">
        <v>1140518051</v>
      </c>
      <c r="B102" s="635" t="s">
        <v>1056</v>
      </c>
      <c r="C102" s="635" t="s">
        <v>1774</v>
      </c>
      <c r="D102" s="635"/>
      <c r="E102" s="635" t="s">
        <v>1494</v>
      </c>
      <c r="F102" s="465" t="s">
        <v>96</v>
      </c>
      <c r="G102" s="466">
        <v>0</v>
      </c>
      <c r="H102" s="466">
        <v>0.591</v>
      </c>
      <c r="I102" s="467">
        <v>0.591</v>
      </c>
      <c r="J102" s="468">
        <v>0</v>
      </c>
    </row>
    <row r="103" spans="1:10" ht="12.75" outlineLevel="2">
      <c r="A103" s="645">
        <v>1140518052</v>
      </c>
      <c r="B103" s="635" t="s">
        <v>1057</v>
      </c>
      <c r="C103" s="635" t="s">
        <v>1774</v>
      </c>
      <c r="D103" s="635"/>
      <c r="E103" s="635" t="s">
        <v>1494</v>
      </c>
      <c r="F103" s="465" t="s">
        <v>96</v>
      </c>
      <c r="G103" s="466">
        <v>0</v>
      </c>
      <c r="H103" s="466">
        <v>0.414</v>
      </c>
      <c r="I103" s="467">
        <v>0.414</v>
      </c>
      <c r="J103" s="468">
        <v>0</v>
      </c>
    </row>
    <row r="104" spans="1:10" ht="12.75" outlineLevel="2">
      <c r="A104" s="645">
        <v>1140518053</v>
      </c>
      <c r="B104" s="635" t="s">
        <v>1058</v>
      </c>
      <c r="C104" s="635" t="s">
        <v>1774</v>
      </c>
      <c r="D104" s="635"/>
      <c r="E104" s="635" t="s">
        <v>1494</v>
      </c>
      <c r="F104" s="465" t="s">
        <v>96</v>
      </c>
      <c r="G104" s="466">
        <v>0</v>
      </c>
      <c r="H104" s="466">
        <v>0.54</v>
      </c>
      <c r="I104" s="467">
        <v>0.54</v>
      </c>
      <c r="J104" s="468">
        <v>0</v>
      </c>
    </row>
    <row r="105" spans="1:10" ht="12.75" outlineLevel="2">
      <c r="A105" s="645">
        <v>1140518054</v>
      </c>
      <c r="B105" s="635" t="s">
        <v>1971</v>
      </c>
      <c r="C105" s="635" t="s">
        <v>1774</v>
      </c>
      <c r="D105" s="635"/>
      <c r="E105" s="635" t="s">
        <v>1494</v>
      </c>
      <c r="F105" s="465" t="s">
        <v>96</v>
      </c>
      <c r="G105" s="466">
        <v>0</v>
      </c>
      <c r="H105" s="466">
        <v>0.399</v>
      </c>
      <c r="I105" s="467">
        <v>0.399</v>
      </c>
      <c r="J105" s="468">
        <v>0</v>
      </c>
    </row>
    <row r="106" spans="1:10" ht="12.75" outlineLevel="2">
      <c r="A106" s="645">
        <v>1140518055</v>
      </c>
      <c r="B106" s="635" t="s">
        <v>1972</v>
      </c>
      <c r="C106" s="635" t="s">
        <v>1774</v>
      </c>
      <c r="D106" s="635"/>
      <c r="E106" s="635" t="s">
        <v>1494</v>
      </c>
      <c r="F106" s="465" t="s">
        <v>96</v>
      </c>
      <c r="G106" s="466">
        <v>0</v>
      </c>
      <c r="H106" s="466">
        <v>0.539</v>
      </c>
      <c r="I106" s="467">
        <v>0.539</v>
      </c>
      <c r="J106" s="468">
        <v>0</v>
      </c>
    </row>
    <row r="107" spans="1:10" ht="12.75" outlineLevel="2">
      <c r="A107" s="645">
        <v>1140518056</v>
      </c>
      <c r="B107" s="635" t="s">
        <v>1973</v>
      </c>
      <c r="C107" s="635" t="s">
        <v>1774</v>
      </c>
      <c r="D107" s="635"/>
      <c r="E107" s="635" t="s">
        <v>1494</v>
      </c>
      <c r="F107" s="465" t="s">
        <v>96</v>
      </c>
      <c r="G107" s="466">
        <v>0</v>
      </c>
      <c r="H107" s="466">
        <v>0.733</v>
      </c>
      <c r="I107" s="467">
        <v>0.733</v>
      </c>
      <c r="J107" s="468">
        <v>0</v>
      </c>
    </row>
    <row r="108" spans="1:10" ht="12.75" outlineLevel="2">
      <c r="A108" s="645">
        <v>1140518057</v>
      </c>
      <c r="B108" s="635" t="s">
        <v>1974</v>
      </c>
      <c r="C108" s="635" t="s">
        <v>1774</v>
      </c>
      <c r="D108" s="635"/>
      <c r="E108" s="635" t="s">
        <v>1494</v>
      </c>
      <c r="F108" s="465" t="s">
        <v>96</v>
      </c>
      <c r="G108" s="466">
        <v>0</v>
      </c>
      <c r="H108" s="466">
        <v>1.198</v>
      </c>
      <c r="I108" s="467">
        <v>1.198</v>
      </c>
      <c r="J108" s="468">
        <v>0</v>
      </c>
    </row>
    <row r="109" spans="1:10" ht="12.75" outlineLevel="2">
      <c r="A109" s="645">
        <v>1140518058</v>
      </c>
      <c r="B109" s="635" t="s">
        <v>1975</v>
      </c>
      <c r="C109" s="635" t="s">
        <v>1774</v>
      </c>
      <c r="D109" s="635"/>
      <c r="E109" s="635" t="s">
        <v>1494</v>
      </c>
      <c r="F109" s="465" t="s">
        <v>96</v>
      </c>
      <c r="G109" s="466">
        <v>0</v>
      </c>
      <c r="H109" s="466">
        <v>1.198</v>
      </c>
      <c r="I109" s="467">
        <v>1.198</v>
      </c>
      <c r="J109" s="468">
        <v>0</v>
      </c>
    </row>
    <row r="110" spans="1:10" ht="12.75" outlineLevel="2">
      <c r="A110" s="645">
        <v>1140518059</v>
      </c>
      <c r="B110" s="635" t="s">
        <v>430</v>
      </c>
      <c r="C110" s="635" t="s">
        <v>1774</v>
      </c>
      <c r="D110" s="635"/>
      <c r="E110" s="635" t="s">
        <v>1494</v>
      </c>
      <c r="F110" s="465" t="s">
        <v>96</v>
      </c>
      <c r="G110" s="466">
        <v>0</v>
      </c>
      <c r="H110" s="466">
        <v>0.5</v>
      </c>
      <c r="I110" s="467">
        <v>0.5</v>
      </c>
      <c r="J110" s="468">
        <v>0</v>
      </c>
    </row>
    <row r="111" spans="1:10" ht="12.75" outlineLevel="2">
      <c r="A111" s="645">
        <v>1140518060</v>
      </c>
      <c r="B111" s="635" t="s">
        <v>431</v>
      </c>
      <c r="C111" s="635" t="s">
        <v>1774</v>
      </c>
      <c r="D111" s="635"/>
      <c r="E111" s="635" t="s">
        <v>1494</v>
      </c>
      <c r="F111" s="465" t="s">
        <v>96</v>
      </c>
      <c r="G111" s="466">
        <v>0</v>
      </c>
      <c r="H111" s="466">
        <v>0.315</v>
      </c>
      <c r="I111" s="467">
        <v>0.315</v>
      </c>
      <c r="J111" s="468">
        <v>0</v>
      </c>
    </row>
    <row r="112" spans="1:10" ht="12.75" outlineLevel="2">
      <c r="A112" s="645">
        <v>1140518061</v>
      </c>
      <c r="B112" s="635" t="s">
        <v>1014</v>
      </c>
      <c r="C112" s="635" t="s">
        <v>1774</v>
      </c>
      <c r="D112" s="635"/>
      <c r="E112" s="635" t="s">
        <v>1494</v>
      </c>
      <c r="F112" s="465" t="s">
        <v>96</v>
      </c>
      <c r="G112" s="466">
        <v>0</v>
      </c>
      <c r="H112" s="466">
        <v>0.479</v>
      </c>
      <c r="I112" s="467">
        <v>0.479</v>
      </c>
      <c r="J112" s="468">
        <v>0</v>
      </c>
    </row>
    <row r="113" spans="1:10" ht="12.75" outlineLevel="2">
      <c r="A113" s="645">
        <v>1140518062</v>
      </c>
      <c r="B113" s="635" t="s">
        <v>432</v>
      </c>
      <c r="C113" s="635" t="s">
        <v>1774</v>
      </c>
      <c r="D113" s="635"/>
      <c r="E113" s="635" t="s">
        <v>1494</v>
      </c>
      <c r="F113" s="465" t="s">
        <v>96</v>
      </c>
      <c r="G113" s="466">
        <v>0</v>
      </c>
      <c r="H113" s="466">
        <v>0.8</v>
      </c>
      <c r="I113" s="467">
        <v>0.8</v>
      </c>
      <c r="J113" s="468">
        <v>0</v>
      </c>
    </row>
    <row r="114" spans="1:10" ht="12.75" outlineLevel="2">
      <c r="A114" s="645">
        <v>1140518063</v>
      </c>
      <c r="B114" s="635" t="s">
        <v>433</v>
      </c>
      <c r="C114" s="635" t="s">
        <v>1774</v>
      </c>
      <c r="D114" s="635"/>
      <c r="E114" s="635" t="s">
        <v>1494</v>
      </c>
      <c r="F114" s="465" t="s">
        <v>96</v>
      </c>
      <c r="G114" s="466">
        <v>0</v>
      </c>
      <c r="H114" s="466">
        <v>0.669</v>
      </c>
      <c r="I114" s="467">
        <v>0.669</v>
      </c>
      <c r="J114" s="468">
        <v>0</v>
      </c>
    </row>
    <row r="115" spans="1:10" ht="12.75" outlineLevel="2">
      <c r="A115" s="645">
        <v>1140518064</v>
      </c>
      <c r="B115" s="635" t="s">
        <v>434</v>
      </c>
      <c r="C115" s="635" t="s">
        <v>1774</v>
      </c>
      <c r="D115" s="635"/>
      <c r="E115" s="635" t="s">
        <v>1494</v>
      </c>
      <c r="F115" s="465" t="s">
        <v>96</v>
      </c>
      <c r="G115" s="466">
        <v>0</v>
      </c>
      <c r="H115" s="466">
        <v>0.7</v>
      </c>
      <c r="I115" s="467">
        <v>0.7</v>
      </c>
      <c r="J115" s="468">
        <v>0</v>
      </c>
    </row>
    <row r="116" spans="1:10" ht="12.75" outlineLevel="2">
      <c r="A116" s="645">
        <v>1140518065</v>
      </c>
      <c r="B116" s="635" t="s">
        <v>435</v>
      </c>
      <c r="C116" s="635" t="s">
        <v>1774</v>
      </c>
      <c r="D116" s="635"/>
      <c r="E116" s="635" t="s">
        <v>1494</v>
      </c>
      <c r="F116" s="465" t="s">
        <v>96</v>
      </c>
      <c r="G116" s="466">
        <v>0</v>
      </c>
      <c r="H116" s="466">
        <v>0.415</v>
      </c>
      <c r="I116" s="467">
        <v>0.415</v>
      </c>
      <c r="J116" s="468">
        <v>0</v>
      </c>
    </row>
    <row r="117" spans="1:10" ht="12.75" outlineLevel="2">
      <c r="A117" s="645">
        <v>1140518066</v>
      </c>
      <c r="B117" s="635" t="s">
        <v>436</v>
      </c>
      <c r="C117" s="635" t="s">
        <v>1774</v>
      </c>
      <c r="D117" s="635"/>
      <c r="E117" s="635" t="s">
        <v>1494</v>
      </c>
      <c r="F117" s="465" t="s">
        <v>96</v>
      </c>
      <c r="G117" s="466">
        <v>0</v>
      </c>
      <c r="H117" s="466">
        <v>0.064</v>
      </c>
      <c r="I117" s="467">
        <v>0.064</v>
      </c>
      <c r="J117" s="468">
        <v>0</v>
      </c>
    </row>
    <row r="118" spans="1:10" ht="12.75" outlineLevel="2">
      <c r="A118" s="645">
        <v>1140518067</v>
      </c>
      <c r="B118" s="635" t="s">
        <v>437</v>
      </c>
      <c r="C118" s="635" t="s">
        <v>1774</v>
      </c>
      <c r="D118" s="635"/>
      <c r="E118" s="635" t="s">
        <v>1494</v>
      </c>
      <c r="F118" s="465" t="s">
        <v>96</v>
      </c>
      <c r="G118" s="466">
        <v>0</v>
      </c>
      <c r="H118" s="466">
        <v>0.156</v>
      </c>
      <c r="I118" s="467">
        <v>0.156</v>
      </c>
      <c r="J118" s="468">
        <v>0</v>
      </c>
    </row>
    <row r="119" spans="1:10" ht="12.75" outlineLevel="2">
      <c r="A119" s="645">
        <v>1140518068</v>
      </c>
      <c r="B119" s="635" t="s">
        <v>1027</v>
      </c>
      <c r="C119" s="635" t="s">
        <v>1774</v>
      </c>
      <c r="D119" s="635"/>
      <c r="E119" s="635" t="s">
        <v>1494</v>
      </c>
      <c r="F119" s="465" t="s">
        <v>96</v>
      </c>
      <c r="G119" s="466">
        <v>0</v>
      </c>
      <c r="H119" s="466">
        <v>0.679</v>
      </c>
      <c r="I119" s="467">
        <v>0.679</v>
      </c>
      <c r="J119" s="468">
        <v>0</v>
      </c>
    </row>
    <row r="120" spans="1:10" ht="12.75" outlineLevel="2">
      <c r="A120" s="645">
        <v>1140518069</v>
      </c>
      <c r="B120" s="635" t="s">
        <v>438</v>
      </c>
      <c r="C120" s="635" t="s">
        <v>1774</v>
      </c>
      <c r="D120" s="635"/>
      <c r="E120" s="635" t="s">
        <v>1494</v>
      </c>
      <c r="F120" s="465" t="s">
        <v>96</v>
      </c>
      <c r="G120" s="466">
        <v>0</v>
      </c>
      <c r="H120" s="466">
        <v>1.8</v>
      </c>
      <c r="I120" s="467">
        <v>1.8</v>
      </c>
      <c r="J120" s="468">
        <v>0</v>
      </c>
    </row>
    <row r="121" spans="1:10" ht="12.75" outlineLevel="2">
      <c r="A121" s="645">
        <v>1140518070</v>
      </c>
      <c r="B121" s="635" t="s">
        <v>439</v>
      </c>
      <c r="C121" s="635" t="s">
        <v>1774</v>
      </c>
      <c r="D121" s="635"/>
      <c r="E121" s="635" t="s">
        <v>1494</v>
      </c>
      <c r="F121" s="465" t="s">
        <v>96</v>
      </c>
      <c r="G121" s="466">
        <v>0</v>
      </c>
      <c r="H121" s="466">
        <v>0.1</v>
      </c>
      <c r="I121" s="467">
        <v>0.1</v>
      </c>
      <c r="J121" s="468">
        <v>0</v>
      </c>
    </row>
    <row r="122" spans="1:10" ht="12.75" outlineLevel="2">
      <c r="A122" s="645">
        <v>1140518071</v>
      </c>
      <c r="B122" s="635" t="s">
        <v>1027</v>
      </c>
      <c r="C122" s="635" t="s">
        <v>1774</v>
      </c>
      <c r="D122" s="635"/>
      <c r="E122" s="635" t="s">
        <v>1494</v>
      </c>
      <c r="F122" s="465" t="s">
        <v>96</v>
      </c>
      <c r="G122" s="466">
        <v>0</v>
      </c>
      <c r="H122" s="466">
        <v>0.98</v>
      </c>
      <c r="I122" s="467">
        <v>0.98</v>
      </c>
      <c r="J122" s="468">
        <v>0</v>
      </c>
    </row>
    <row r="123" spans="1:10" ht="12.75" outlineLevel="2">
      <c r="A123" s="645">
        <v>1140518072</v>
      </c>
      <c r="B123" s="635" t="s">
        <v>440</v>
      </c>
      <c r="C123" s="635" t="s">
        <v>1774</v>
      </c>
      <c r="D123" s="635"/>
      <c r="E123" s="635" t="s">
        <v>1494</v>
      </c>
      <c r="F123" s="465" t="s">
        <v>96</v>
      </c>
      <c r="G123" s="466">
        <v>0</v>
      </c>
      <c r="H123" s="466">
        <v>0.598</v>
      </c>
      <c r="I123" s="467">
        <v>0.598</v>
      </c>
      <c r="J123" s="468">
        <v>0</v>
      </c>
    </row>
    <row r="124" spans="1:10" ht="12.75" outlineLevel="2">
      <c r="A124" s="645">
        <v>1140518073</v>
      </c>
      <c r="B124" s="635" t="s">
        <v>441</v>
      </c>
      <c r="C124" s="635" t="s">
        <v>1774</v>
      </c>
      <c r="D124" s="635"/>
      <c r="E124" s="635" t="s">
        <v>1494</v>
      </c>
      <c r="F124" s="465" t="s">
        <v>96</v>
      </c>
      <c r="G124" s="466">
        <v>0</v>
      </c>
      <c r="H124" s="466">
        <v>0.198</v>
      </c>
      <c r="I124" s="467">
        <v>0.198</v>
      </c>
      <c r="J124" s="468">
        <v>0</v>
      </c>
    </row>
    <row r="125" spans="1:10" ht="12.75" outlineLevel="2">
      <c r="A125" s="645">
        <v>1140518074</v>
      </c>
      <c r="B125" s="635" t="s">
        <v>442</v>
      </c>
      <c r="C125" s="635" t="s">
        <v>1774</v>
      </c>
      <c r="D125" s="635"/>
      <c r="E125" s="635" t="s">
        <v>1494</v>
      </c>
      <c r="F125" s="465" t="s">
        <v>96</v>
      </c>
      <c r="G125" s="466">
        <v>0</v>
      </c>
      <c r="H125" s="466">
        <v>0.638</v>
      </c>
      <c r="I125" s="467">
        <v>0.638</v>
      </c>
      <c r="J125" s="468">
        <v>0</v>
      </c>
    </row>
    <row r="126" spans="1:10" ht="12.75" outlineLevel="2">
      <c r="A126" s="645">
        <v>1140518075</v>
      </c>
      <c r="B126" s="635" t="s">
        <v>443</v>
      </c>
      <c r="C126" s="635" t="s">
        <v>1774</v>
      </c>
      <c r="D126" s="635"/>
      <c r="E126" s="635" t="s">
        <v>1494</v>
      </c>
      <c r="F126" s="465" t="s">
        <v>96</v>
      </c>
      <c r="G126" s="466">
        <v>0</v>
      </c>
      <c r="H126" s="466">
        <v>0.499</v>
      </c>
      <c r="I126" s="467">
        <v>0.499</v>
      </c>
      <c r="J126" s="468">
        <v>0</v>
      </c>
    </row>
    <row r="127" spans="1:10" ht="12.75" outlineLevel="2">
      <c r="A127" s="645">
        <v>1140518076</v>
      </c>
      <c r="B127" s="635" t="s">
        <v>444</v>
      </c>
      <c r="C127" s="635" t="s">
        <v>1774</v>
      </c>
      <c r="D127" s="635"/>
      <c r="E127" s="635" t="s">
        <v>1494</v>
      </c>
      <c r="F127" s="465" t="s">
        <v>96</v>
      </c>
      <c r="G127" s="466">
        <v>0</v>
      </c>
      <c r="H127" s="466">
        <v>0.383</v>
      </c>
      <c r="I127" s="467">
        <v>0.383</v>
      </c>
      <c r="J127" s="468">
        <v>0</v>
      </c>
    </row>
    <row r="128" spans="1:10" ht="12.75" outlineLevel="2">
      <c r="A128" s="645">
        <v>1140518077</v>
      </c>
      <c r="B128" s="635" t="s">
        <v>1013</v>
      </c>
      <c r="C128" s="635" t="s">
        <v>1774</v>
      </c>
      <c r="D128" s="635"/>
      <c r="E128" s="635" t="s">
        <v>1494</v>
      </c>
      <c r="F128" s="465" t="s">
        <v>96</v>
      </c>
      <c r="G128" s="466">
        <v>0</v>
      </c>
      <c r="H128" s="466">
        <v>0.36</v>
      </c>
      <c r="I128" s="467">
        <v>0.36</v>
      </c>
      <c r="J128" s="468">
        <v>0</v>
      </c>
    </row>
    <row r="129" spans="1:10" ht="12.75" outlineLevel="2">
      <c r="A129" s="645">
        <v>1140518078</v>
      </c>
      <c r="B129" s="635" t="s">
        <v>445</v>
      </c>
      <c r="C129" s="635" t="s">
        <v>1774</v>
      </c>
      <c r="D129" s="635"/>
      <c r="E129" s="635" t="s">
        <v>1494</v>
      </c>
      <c r="F129" s="465" t="s">
        <v>96</v>
      </c>
      <c r="G129" s="466">
        <v>0</v>
      </c>
      <c r="H129" s="466">
        <v>0.717</v>
      </c>
      <c r="I129" s="467">
        <v>0.717</v>
      </c>
      <c r="J129" s="468">
        <v>0</v>
      </c>
    </row>
    <row r="130" spans="1:10" ht="12.75" outlineLevel="2">
      <c r="A130" s="645">
        <v>1140518079</v>
      </c>
      <c r="B130" s="635" t="s">
        <v>446</v>
      </c>
      <c r="C130" s="635" t="s">
        <v>1774</v>
      </c>
      <c r="D130" s="635"/>
      <c r="E130" s="635" t="s">
        <v>1494</v>
      </c>
      <c r="F130" s="465" t="s">
        <v>96</v>
      </c>
      <c r="G130" s="466">
        <v>0</v>
      </c>
      <c r="H130" s="466">
        <v>0.635</v>
      </c>
      <c r="I130" s="467">
        <v>0.635</v>
      </c>
      <c r="J130" s="468">
        <v>0</v>
      </c>
    </row>
    <row r="131" spans="1:10" ht="12.75" outlineLevel="2">
      <c r="A131" s="645">
        <v>1140518080</v>
      </c>
      <c r="B131" s="635" t="s">
        <v>447</v>
      </c>
      <c r="C131" s="635" t="s">
        <v>1774</v>
      </c>
      <c r="D131" s="635"/>
      <c r="E131" s="635" t="s">
        <v>1494</v>
      </c>
      <c r="F131" s="465" t="s">
        <v>96</v>
      </c>
      <c r="G131" s="466">
        <v>0</v>
      </c>
      <c r="H131" s="466">
        <v>0.36</v>
      </c>
      <c r="I131" s="467">
        <v>0.36</v>
      </c>
      <c r="J131" s="468">
        <v>0</v>
      </c>
    </row>
    <row r="132" spans="1:10" ht="12.75" outlineLevel="2">
      <c r="A132" s="645">
        <v>1140518081</v>
      </c>
      <c r="B132" s="635" t="s">
        <v>448</v>
      </c>
      <c r="C132" s="635" t="s">
        <v>1774</v>
      </c>
      <c r="D132" s="635"/>
      <c r="E132" s="635" t="s">
        <v>1494</v>
      </c>
      <c r="F132" s="465" t="s">
        <v>96</v>
      </c>
      <c r="G132" s="466">
        <v>0</v>
      </c>
      <c r="H132" s="466">
        <v>0.104</v>
      </c>
      <c r="I132" s="467">
        <v>0.104</v>
      </c>
      <c r="J132" s="468">
        <v>0</v>
      </c>
    </row>
    <row r="133" spans="1:10" ht="12.75" outlineLevel="2">
      <c r="A133" s="645">
        <v>1140518082</v>
      </c>
      <c r="B133" s="635" t="s">
        <v>449</v>
      </c>
      <c r="C133" s="635" t="s">
        <v>1774</v>
      </c>
      <c r="D133" s="635"/>
      <c r="E133" s="635" t="s">
        <v>1494</v>
      </c>
      <c r="F133" s="465" t="s">
        <v>96</v>
      </c>
      <c r="G133" s="466">
        <v>0</v>
      </c>
      <c r="H133" s="466">
        <v>0.541</v>
      </c>
      <c r="I133" s="467">
        <v>0.541</v>
      </c>
      <c r="J133" s="468">
        <v>0</v>
      </c>
    </row>
    <row r="134" spans="1:10" ht="12.75" outlineLevel="2">
      <c r="A134" s="645">
        <v>1140518083</v>
      </c>
      <c r="B134" s="635" t="s">
        <v>450</v>
      </c>
      <c r="C134" s="635" t="s">
        <v>1774</v>
      </c>
      <c r="D134" s="635"/>
      <c r="E134" s="635" t="s">
        <v>1494</v>
      </c>
      <c r="F134" s="465" t="s">
        <v>96</v>
      </c>
      <c r="G134" s="466">
        <v>0</v>
      </c>
      <c r="H134" s="466">
        <v>0.1</v>
      </c>
      <c r="I134" s="467">
        <v>0</v>
      </c>
      <c r="J134" s="468">
        <v>0.1</v>
      </c>
    </row>
    <row r="135" spans="1:10" ht="12.75" outlineLevel="2">
      <c r="A135" s="645">
        <v>1140518084</v>
      </c>
      <c r="B135" s="635" t="s">
        <v>451</v>
      </c>
      <c r="C135" s="635" t="s">
        <v>1774</v>
      </c>
      <c r="D135" s="635"/>
      <c r="E135" s="635" t="s">
        <v>1494</v>
      </c>
      <c r="F135" s="465" t="s">
        <v>96</v>
      </c>
      <c r="G135" s="466">
        <v>0</v>
      </c>
      <c r="H135" s="466">
        <v>0.288</v>
      </c>
      <c r="I135" s="467">
        <v>0.288</v>
      </c>
      <c r="J135" s="468">
        <v>0</v>
      </c>
    </row>
    <row r="136" spans="1:10" ht="12.75" outlineLevel="2">
      <c r="A136" s="645">
        <v>1140518085</v>
      </c>
      <c r="B136" s="635" t="s">
        <v>452</v>
      </c>
      <c r="C136" s="635" t="s">
        <v>1774</v>
      </c>
      <c r="D136" s="635"/>
      <c r="E136" s="635" t="s">
        <v>1494</v>
      </c>
      <c r="F136" s="465" t="s">
        <v>96</v>
      </c>
      <c r="G136" s="466">
        <v>0</v>
      </c>
      <c r="H136" s="466">
        <v>0.923</v>
      </c>
      <c r="I136" s="467">
        <v>0.923</v>
      </c>
      <c r="J136" s="468">
        <v>0</v>
      </c>
    </row>
    <row r="137" spans="1:10" ht="12.75" outlineLevel="2">
      <c r="A137" s="645">
        <v>1140518086</v>
      </c>
      <c r="B137" s="635" t="s">
        <v>453</v>
      </c>
      <c r="C137" s="635" t="s">
        <v>1774</v>
      </c>
      <c r="D137" s="635"/>
      <c r="E137" s="635" t="s">
        <v>1494</v>
      </c>
      <c r="F137" s="465" t="s">
        <v>96</v>
      </c>
      <c r="G137" s="466">
        <v>0</v>
      </c>
      <c r="H137" s="466">
        <v>0.135</v>
      </c>
      <c r="I137" s="467">
        <v>0.135</v>
      </c>
      <c r="J137" s="468">
        <v>0</v>
      </c>
    </row>
    <row r="138" spans="1:10" ht="12.75" outlineLevel="2">
      <c r="A138" s="645">
        <v>1140518087</v>
      </c>
      <c r="B138" s="635" t="s">
        <v>454</v>
      </c>
      <c r="C138" s="635" t="s">
        <v>1774</v>
      </c>
      <c r="D138" s="635"/>
      <c r="E138" s="635" t="s">
        <v>1494</v>
      </c>
      <c r="F138" s="465" t="s">
        <v>96</v>
      </c>
      <c r="G138" s="466">
        <v>0</v>
      </c>
      <c r="H138" s="466">
        <v>0.84</v>
      </c>
      <c r="I138" s="467">
        <v>0.65</v>
      </c>
      <c r="J138" s="468">
        <v>0.19</v>
      </c>
    </row>
    <row r="139" spans="1:10" ht="12.75" outlineLevel="2">
      <c r="A139" s="645">
        <v>1140518089</v>
      </c>
      <c r="B139" s="635" t="s">
        <v>455</v>
      </c>
      <c r="C139" s="635" t="s">
        <v>1774</v>
      </c>
      <c r="D139" s="635"/>
      <c r="E139" s="635" t="s">
        <v>1494</v>
      </c>
      <c r="F139" s="465" t="s">
        <v>96</v>
      </c>
      <c r="G139" s="466">
        <v>0</v>
      </c>
      <c r="H139" s="466">
        <v>0.7</v>
      </c>
      <c r="I139" s="467">
        <v>0.7</v>
      </c>
      <c r="J139" s="468">
        <v>0</v>
      </c>
    </row>
    <row r="140" spans="1:10" ht="12.75" outlineLevel="2">
      <c r="A140" s="645">
        <v>1140518090</v>
      </c>
      <c r="B140" s="635" t="s">
        <v>456</v>
      </c>
      <c r="C140" s="635" t="s">
        <v>1774</v>
      </c>
      <c r="D140" s="635"/>
      <c r="E140" s="635" t="s">
        <v>1494</v>
      </c>
      <c r="F140" s="465" t="s">
        <v>96</v>
      </c>
      <c r="G140" s="466">
        <v>0</v>
      </c>
      <c r="H140" s="466">
        <v>0.224</v>
      </c>
      <c r="I140" s="467">
        <v>0.224</v>
      </c>
      <c r="J140" s="468">
        <v>0</v>
      </c>
    </row>
    <row r="141" spans="1:10" ht="12.75" outlineLevel="2">
      <c r="A141" s="645">
        <v>1140518091</v>
      </c>
      <c r="B141" s="635" t="s">
        <v>457</v>
      </c>
      <c r="C141" s="635" t="s">
        <v>1774</v>
      </c>
      <c r="D141" s="635"/>
      <c r="E141" s="635" t="s">
        <v>1494</v>
      </c>
      <c r="F141" s="465" t="s">
        <v>96</v>
      </c>
      <c r="G141" s="466">
        <v>0</v>
      </c>
      <c r="H141" s="466">
        <v>0.262</v>
      </c>
      <c r="I141" s="467">
        <v>0</v>
      </c>
      <c r="J141" s="468">
        <v>0.262</v>
      </c>
    </row>
    <row r="142" spans="1:10" ht="12.75" outlineLevel="2">
      <c r="A142" s="645">
        <v>1140518092</v>
      </c>
      <c r="B142" s="635" t="s">
        <v>458</v>
      </c>
      <c r="C142" s="635" t="s">
        <v>1774</v>
      </c>
      <c r="D142" s="635"/>
      <c r="E142" s="635" t="s">
        <v>1494</v>
      </c>
      <c r="F142" s="465" t="s">
        <v>96</v>
      </c>
      <c r="G142" s="466">
        <v>0</v>
      </c>
      <c r="H142" s="466">
        <v>1.499</v>
      </c>
      <c r="I142" s="467">
        <v>0</v>
      </c>
      <c r="J142" s="468">
        <v>1.499</v>
      </c>
    </row>
    <row r="143" spans="1:10" ht="13.5" outlineLevel="2" thickBot="1">
      <c r="A143" s="646" t="s">
        <v>459</v>
      </c>
      <c r="B143" s="636" t="s">
        <v>460</v>
      </c>
      <c r="C143" s="636" t="s">
        <v>1774</v>
      </c>
      <c r="D143" s="636"/>
      <c r="E143" s="636" t="s">
        <v>1533</v>
      </c>
      <c r="F143" s="469" t="s">
        <v>96</v>
      </c>
      <c r="G143" s="470">
        <v>60</v>
      </c>
      <c r="H143" s="470">
        <v>0</v>
      </c>
      <c r="I143" s="471">
        <v>0</v>
      </c>
      <c r="J143" s="472">
        <v>0</v>
      </c>
    </row>
    <row r="144" spans="1:10" s="149" customFormat="1" ht="13.5" outlineLevel="1" thickBot="1">
      <c r="A144" s="648" t="s">
        <v>461</v>
      </c>
      <c r="B144" s="637"/>
      <c r="C144" s="637"/>
      <c r="D144" s="637"/>
      <c r="E144" s="637"/>
      <c r="F144" s="458"/>
      <c r="G144" s="459">
        <f>SUBTOTAL(9,G52:G143)</f>
        <v>60</v>
      </c>
      <c r="H144" s="459">
        <f>SUBTOTAL(9,H52:H143)</f>
        <v>50.96699999999999</v>
      </c>
      <c r="I144" s="473">
        <f>SUBTOTAL(9,I52:I143)</f>
        <v>48.11999999999998</v>
      </c>
      <c r="J144" s="474">
        <f>SUBTOTAL(9,J52:J143)</f>
        <v>2.8470000000000004</v>
      </c>
    </row>
    <row r="145" spans="1:10" ht="12.75" outlineLevel="2">
      <c r="A145" s="644">
        <v>1140638001</v>
      </c>
      <c r="B145" s="634" t="s">
        <v>462</v>
      </c>
      <c r="C145" s="634" t="s">
        <v>1774</v>
      </c>
      <c r="D145" s="634"/>
      <c r="E145" s="634" t="s">
        <v>1533</v>
      </c>
      <c r="F145" s="461" t="s">
        <v>118</v>
      </c>
      <c r="G145" s="462">
        <v>0</v>
      </c>
      <c r="H145" s="462">
        <v>1.983</v>
      </c>
      <c r="I145" s="463">
        <v>0</v>
      </c>
      <c r="J145" s="464">
        <v>1.983</v>
      </c>
    </row>
    <row r="146" spans="1:10" ht="12.75" outlineLevel="2">
      <c r="A146" s="645">
        <v>1140638002</v>
      </c>
      <c r="B146" s="635" t="s">
        <v>463</v>
      </c>
      <c r="C146" s="635" t="s">
        <v>1774</v>
      </c>
      <c r="D146" s="635"/>
      <c r="E146" s="635" t="s">
        <v>1494</v>
      </c>
      <c r="F146" s="465" t="s">
        <v>118</v>
      </c>
      <c r="G146" s="466">
        <v>0</v>
      </c>
      <c r="H146" s="466">
        <v>1.679</v>
      </c>
      <c r="I146" s="467">
        <v>1.679</v>
      </c>
      <c r="J146" s="468">
        <v>0</v>
      </c>
    </row>
    <row r="147" spans="1:10" ht="13.5" outlineLevel="2" thickBot="1">
      <c r="A147" s="646">
        <v>1140638003</v>
      </c>
      <c r="B147" s="636" t="s">
        <v>464</v>
      </c>
      <c r="C147" s="636" t="s">
        <v>1774</v>
      </c>
      <c r="D147" s="636"/>
      <c r="E147" s="636" t="s">
        <v>1494</v>
      </c>
      <c r="F147" s="469" t="s">
        <v>118</v>
      </c>
      <c r="G147" s="470">
        <v>0</v>
      </c>
      <c r="H147" s="470">
        <v>0.6</v>
      </c>
      <c r="I147" s="471">
        <v>0.6</v>
      </c>
      <c r="J147" s="472">
        <v>0</v>
      </c>
    </row>
    <row r="148" spans="1:10" s="149" customFormat="1" ht="13.5" outlineLevel="1" thickBot="1">
      <c r="A148" s="648" t="s">
        <v>465</v>
      </c>
      <c r="B148" s="637"/>
      <c r="C148" s="637"/>
      <c r="D148" s="637"/>
      <c r="E148" s="637"/>
      <c r="F148" s="458"/>
      <c r="G148" s="459">
        <f>SUBTOTAL(9,G145:G147)</f>
        <v>0</v>
      </c>
      <c r="H148" s="459">
        <f>SUBTOTAL(9,H145:H147)</f>
        <v>4.262</v>
      </c>
      <c r="I148" s="473">
        <f>SUBTOTAL(9,I145:I147)</f>
        <v>2.279</v>
      </c>
      <c r="J148" s="474">
        <f>SUBTOTAL(9,J145:J147)</f>
        <v>1.983</v>
      </c>
    </row>
    <row r="149" spans="1:10" ht="12.75" outlineLevel="2">
      <c r="A149" s="644">
        <v>1140718001</v>
      </c>
      <c r="B149" s="634" t="s">
        <v>466</v>
      </c>
      <c r="C149" s="634" t="s">
        <v>1774</v>
      </c>
      <c r="D149" s="634"/>
      <c r="E149" s="634" t="s">
        <v>1533</v>
      </c>
      <c r="F149" s="461" t="s">
        <v>96</v>
      </c>
      <c r="G149" s="462">
        <v>0</v>
      </c>
      <c r="H149" s="462">
        <v>15</v>
      </c>
      <c r="I149" s="463">
        <v>0</v>
      </c>
      <c r="J149" s="464">
        <v>15</v>
      </c>
    </row>
    <row r="150" spans="1:10" ht="12.75" outlineLevel="2">
      <c r="A150" s="645">
        <v>1140718002</v>
      </c>
      <c r="B150" s="635" t="s">
        <v>467</v>
      </c>
      <c r="C150" s="635" t="s">
        <v>1774</v>
      </c>
      <c r="D150" s="635"/>
      <c r="E150" s="635" t="s">
        <v>1533</v>
      </c>
      <c r="F150" s="465" t="s">
        <v>96</v>
      </c>
      <c r="G150" s="466">
        <v>0</v>
      </c>
      <c r="H150" s="466">
        <v>3</v>
      </c>
      <c r="I150" s="467">
        <v>0</v>
      </c>
      <c r="J150" s="468">
        <v>3</v>
      </c>
    </row>
    <row r="151" spans="1:10" ht="12.75" outlineLevel="2">
      <c r="A151" s="645">
        <v>1140718002</v>
      </c>
      <c r="B151" s="635" t="s">
        <v>467</v>
      </c>
      <c r="C151" s="635" t="s">
        <v>1774</v>
      </c>
      <c r="D151" s="635"/>
      <c r="E151" s="635" t="s">
        <v>1533</v>
      </c>
      <c r="F151" s="465" t="s">
        <v>118</v>
      </c>
      <c r="G151" s="466">
        <v>0</v>
      </c>
      <c r="H151" s="466">
        <v>17</v>
      </c>
      <c r="I151" s="467">
        <v>0</v>
      </c>
      <c r="J151" s="468">
        <v>17</v>
      </c>
    </row>
    <row r="152" spans="1:10" ht="12.75" outlineLevel="2">
      <c r="A152" s="645">
        <v>1140718003</v>
      </c>
      <c r="B152" s="635" t="s">
        <v>468</v>
      </c>
      <c r="C152" s="635" t="s">
        <v>1774</v>
      </c>
      <c r="D152" s="635"/>
      <c r="E152" s="635" t="s">
        <v>1533</v>
      </c>
      <c r="F152" s="465" t="s">
        <v>96</v>
      </c>
      <c r="G152" s="466">
        <v>0</v>
      </c>
      <c r="H152" s="466">
        <v>3</v>
      </c>
      <c r="I152" s="467">
        <v>0</v>
      </c>
      <c r="J152" s="468">
        <v>3</v>
      </c>
    </row>
    <row r="153" spans="1:10" ht="12.75" outlineLevel="2">
      <c r="A153" s="645">
        <v>1140718003</v>
      </c>
      <c r="B153" s="635" t="s">
        <v>468</v>
      </c>
      <c r="C153" s="635" t="s">
        <v>1774</v>
      </c>
      <c r="D153" s="635"/>
      <c r="E153" s="635" t="s">
        <v>1533</v>
      </c>
      <c r="F153" s="465" t="s">
        <v>118</v>
      </c>
      <c r="G153" s="466">
        <v>0</v>
      </c>
      <c r="H153" s="466">
        <v>17</v>
      </c>
      <c r="I153" s="467">
        <v>0</v>
      </c>
      <c r="J153" s="468">
        <v>17</v>
      </c>
    </row>
    <row r="154" spans="1:10" ht="12.75" outlineLevel="2">
      <c r="A154" s="645">
        <v>1140718004</v>
      </c>
      <c r="B154" s="635" t="s">
        <v>469</v>
      </c>
      <c r="C154" s="635" t="s">
        <v>1774</v>
      </c>
      <c r="D154" s="635"/>
      <c r="E154" s="635" t="s">
        <v>1533</v>
      </c>
      <c r="F154" s="465" t="s">
        <v>1845</v>
      </c>
      <c r="G154" s="466">
        <v>0</v>
      </c>
      <c r="H154" s="466">
        <v>22.035</v>
      </c>
      <c r="I154" s="467">
        <v>0</v>
      </c>
      <c r="J154" s="468">
        <v>22.035</v>
      </c>
    </row>
    <row r="155" spans="1:10" ht="12.75" outlineLevel="2">
      <c r="A155" s="645">
        <v>1140718004</v>
      </c>
      <c r="B155" s="635" t="s">
        <v>469</v>
      </c>
      <c r="C155" s="635" t="s">
        <v>1774</v>
      </c>
      <c r="D155" s="635"/>
      <c r="E155" s="635" t="s">
        <v>1533</v>
      </c>
      <c r="F155" s="465" t="s">
        <v>96</v>
      </c>
      <c r="G155" s="466">
        <v>0</v>
      </c>
      <c r="H155" s="466">
        <v>127.5</v>
      </c>
      <c r="I155" s="467">
        <v>0</v>
      </c>
      <c r="J155" s="468">
        <v>127.5</v>
      </c>
    </row>
    <row r="156" spans="1:10" ht="12.75" outlineLevel="2">
      <c r="A156" s="645">
        <v>1140718004</v>
      </c>
      <c r="B156" s="635" t="s">
        <v>469</v>
      </c>
      <c r="C156" s="635" t="s">
        <v>1774</v>
      </c>
      <c r="D156" s="635"/>
      <c r="E156" s="635" t="s">
        <v>1533</v>
      </c>
      <c r="F156" s="465" t="s">
        <v>118</v>
      </c>
      <c r="G156" s="466">
        <v>0</v>
      </c>
      <c r="H156" s="466">
        <v>86.615</v>
      </c>
      <c r="I156" s="467">
        <v>0</v>
      </c>
      <c r="J156" s="468">
        <v>86.615</v>
      </c>
    </row>
    <row r="157" spans="1:10" ht="12.75" outlineLevel="2">
      <c r="A157" s="645">
        <v>1140718005</v>
      </c>
      <c r="B157" s="635" t="s">
        <v>470</v>
      </c>
      <c r="C157" s="635" t="s">
        <v>1774</v>
      </c>
      <c r="D157" s="635"/>
      <c r="E157" s="635" t="s">
        <v>1533</v>
      </c>
      <c r="F157" s="465" t="s">
        <v>1845</v>
      </c>
      <c r="G157" s="466">
        <v>0</v>
      </c>
      <c r="H157" s="466">
        <v>5.1</v>
      </c>
      <c r="I157" s="467">
        <v>0</v>
      </c>
      <c r="J157" s="468">
        <v>5.1</v>
      </c>
    </row>
    <row r="158" spans="1:10" ht="12.75" outlineLevel="2">
      <c r="A158" s="645">
        <v>1140718005</v>
      </c>
      <c r="B158" s="635" t="s">
        <v>470</v>
      </c>
      <c r="C158" s="635" t="s">
        <v>1774</v>
      </c>
      <c r="D158" s="635"/>
      <c r="E158" s="635" t="s">
        <v>1533</v>
      </c>
      <c r="F158" s="465" t="s">
        <v>96</v>
      </c>
      <c r="G158" s="466">
        <v>0</v>
      </c>
      <c r="H158" s="466">
        <v>6.9</v>
      </c>
      <c r="I158" s="467">
        <v>0</v>
      </c>
      <c r="J158" s="468">
        <v>6.9</v>
      </c>
    </row>
    <row r="159" spans="1:10" ht="12.75" outlineLevel="2">
      <c r="A159" s="645">
        <v>1140718005</v>
      </c>
      <c r="B159" s="635" t="s">
        <v>470</v>
      </c>
      <c r="C159" s="635" t="s">
        <v>1774</v>
      </c>
      <c r="D159" s="635"/>
      <c r="E159" s="635" t="s">
        <v>1533</v>
      </c>
      <c r="F159" s="465" t="s">
        <v>118</v>
      </c>
      <c r="G159" s="466">
        <v>0</v>
      </c>
      <c r="H159" s="466">
        <v>18.7</v>
      </c>
      <c r="I159" s="467">
        <v>0</v>
      </c>
      <c r="J159" s="468">
        <v>18.7</v>
      </c>
    </row>
    <row r="160" spans="1:10" ht="12.75" outlineLevel="2">
      <c r="A160" s="645">
        <v>1140718006</v>
      </c>
      <c r="B160" s="635" t="s">
        <v>471</v>
      </c>
      <c r="C160" s="635" t="s">
        <v>1774</v>
      </c>
      <c r="D160" s="635"/>
      <c r="E160" s="635" t="s">
        <v>1533</v>
      </c>
      <c r="F160" s="465" t="s">
        <v>1845</v>
      </c>
      <c r="G160" s="466">
        <v>0</v>
      </c>
      <c r="H160" s="466">
        <v>0.5</v>
      </c>
      <c r="I160" s="467">
        <v>0</v>
      </c>
      <c r="J160" s="468">
        <v>0.5</v>
      </c>
    </row>
    <row r="161" spans="1:10" ht="12.75" outlineLevel="2">
      <c r="A161" s="645">
        <v>1140718006</v>
      </c>
      <c r="B161" s="635" t="s">
        <v>471</v>
      </c>
      <c r="C161" s="635" t="s">
        <v>1774</v>
      </c>
      <c r="D161" s="635"/>
      <c r="E161" s="635" t="s">
        <v>1533</v>
      </c>
      <c r="F161" s="465" t="s">
        <v>96</v>
      </c>
      <c r="G161" s="466">
        <v>0</v>
      </c>
      <c r="H161" s="466">
        <v>1</v>
      </c>
      <c r="I161" s="467">
        <v>0</v>
      </c>
      <c r="J161" s="468">
        <v>1</v>
      </c>
    </row>
    <row r="162" spans="1:10" ht="12.75" outlineLevel="2">
      <c r="A162" s="645">
        <v>1140718006</v>
      </c>
      <c r="B162" s="635" t="s">
        <v>471</v>
      </c>
      <c r="C162" s="635" t="s">
        <v>1774</v>
      </c>
      <c r="D162" s="635"/>
      <c r="E162" s="635" t="s">
        <v>1533</v>
      </c>
      <c r="F162" s="465" t="s">
        <v>118</v>
      </c>
      <c r="G162" s="466">
        <v>0</v>
      </c>
      <c r="H162" s="466">
        <v>8.5</v>
      </c>
      <c r="I162" s="467">
        <v>0</v>
      </c>
      <c r="J162" s="468">
        <v>8.5</v>
      </c>
    </row>
    <row r="163" spans="1:10" ht="12.75" outlineLevel="2">
      <c r="A163" s="645">
        <v>1140718007</v>
      </c>
      <c r="B163" s="635" t="s">
        <v>472</v>
      </c>
      <c r="C163" s="635" t="s">
        <v>1774</v>
      </c>
      <c r="D163" s="635"/>
      <c r="E163" s="635" t="s">
        <v>1533</v>
      </c>
      <c r="F163" s="465" t="s">
        <v>473</v>
      </c>
      <c r="G163" s="466">
        <v>0</v>
      </c>
      <c r="H163" s="466">
        <v>0.35</v>
      </c>
      <c r="I163" s="467">
        <v>0</v>
      </c>
      <c r="J163" s="468">
        <v>0.35</v>
      </c>
    </row>
    <row r="164" spans="1:10" ht="12.75" outlineLevel="2">
      <c r="A164" s="645">
        <v>1140718007</v>
      </c>
      <c r="B164" s="635" t="s">
        <v>472</v>
      </c>
      <c r="C164" s="635" t="s">
        <v>1774</v>
      </c>
      <c r="D164" s="635"/>
      <c r="E164" s="635" t="s">
        <v>1533</v>
      </c>
      <c r="F164" s="465" t="s">
        <v>96</v>
      </c>
      <c r="G164" s="466">
        <v>0</v>
      </c>
      <c r="H164" s="466">
        <v>1.05</v>
      </c>
      <c r="I164" s="467">
        <v>0</v>
      </c>
      <c r="J164" s="468">
        <v>1.05</v>
      </c>
    </row>
    <row r="165" spans="1:10" ht="12.75" outlineLevel="2">
      <c r="A165" s="645">
        <v>1140718007</v>
      </c>
      <c r="B165" s="635" t="s">
        <v>472</v>
      </c>
      <c r="C165" s="635" t="s">
        <v>1774</v>
      </c>
      <c r="D165" s="635"/>
      <c r="E165" s="635" t="s">
        <v>1533</v>
      </c>
      <c r="F165" s="465" t="s">
        <v>118</v>
      </c>
      <c r="G165" s="466">
        <v>0</v>
      </c>
      <c r="H165" s="466">
        <v>5.6</v>
      </c>
      <c r="I165" s="467">
        <v>0</v>
      </c>
      <c r="J165" s="468">
        <v>5.6</v>
      </c>
    </row>
    <row r="166" spans="1:10" ht="12.75" outlineLevel="2">
      <c r="A166" s="645">
        <v>1140718008</v>
      </c>
      <c r="B166" s="635" t="s">
        <v>474</v>
      </c>
      <c r="C166" s="635" t="s">
        <v>1774</v>
      </c>
      <c r="D166" s="635"/>
      <c r="E166" s="635" t="s">
        <v>1533</v>
      </c>
      <c r="F166" s="465" t="s">
        <v>1845</v>
      </c>
      <c r="G166" s="466">
        <v>0</v>
      </c>
      <c r="H166" s="466">
        <v>0.4</v>
      </c>
      <c r="I166" s="467">
        <v>0</v>
      </c>
      <c r="J166" s="468">
        <v>0.4</v>
      </c>
    </row>
    <row r="167" spans="1:10" ht="12.75" outlineLevel="2">
      <c r="A167" s="645">
        <v>1140718008</v>
      </c>
      <c r="B167" s="635" t="s">
        <v>474</v>
      </c>
      <c r="C167" s="635" t="s">
        <v>1774</v>
      </c>
      <c r="D167" s="635"/>
      <c r="E167" s="635" t="s">
        <v>1533</v>
      </c>
      <c r="F167" s="465" t="s">
        <v>96</v>
      </c>
      <c r="G167" s="466">
        <v>0</v>
      </c>
      <c r="H167" s="466">
        <v>0.8</v>
      </c>
      <c r="I167" s="467">
        <v>0</v>
      </c>
      <c r="J167" s="468">
        <v>0.8</v>
      </c>
    </row>
    <row r="168" spans="1:10" ht="12.75" outlineLevel="2">
      <c r="A168" s="645">
        <v>1140718008</v>
      </c>
      <c r="B168" s="635" t="s">
        <v>474</v>
      </c>
      <c r="C168" s="635" t="s">
        <v>1774</v>
      </c>
      <c r="D168" s="635"/>
      <c r="E168" s="635" t="s">
        <v>1533</v>
      </c>
      <c r="F168" s="465" t="s">
        <v>118</v>
      </c>
      <c r="G168" s="466">
        <v>0</v>
      </c>
      <c r="H168" s="466">
        <v>6.8</v>
      </c>
      <c r="I168" s="467">
        <v>0</v>
      </c>
      <c r="J168" s="468">
        <v>6.8</v>
      </c>
    </row>
    <row r="169" spans="1:10" ht="12.75" outlineLevel="2">
      <c r="A169" s="645">
        <v>1140718009</v>
      </c>
      <c r="B169" s="635" t="s">
        <v>475</v>
      </c>
      <c r="C169" s="635" t="s">
        <v>1777</v>
      </c>
      <c r="D169" s="635"/>
      <c r="E169" s="635" t="s">
        <v>1533</v>
      </c>
      <c r="F169" s="465" t="s">
        <v>96</v>
      </c>
      <c r="G169" s="466">
        <v>0</v>
      </c>
      <c r="H169" s="466">
        <v>15</v>
      </c>
      <c r="I169" s="467">
        <v>0</v>
      </c>
      <c r="J169" s="468">
        <v>15</v>
      </c>
    </row>
    <row r="170" spans="1:10" ht="12.75" outlineLevel="2">
      <c r="A170" s="645">
        <v>1140718010</v>
      </c>
      <c r="B170" s="635" t="s">
        <v>476</v>
      </c>
      <c r="C170" s="635" t="s">
        <v>1774</v>
      </c>
      <c r="D170" s="635"/>
      <c r="E170" s="635" t="s">
        <v>1533</v>
      </c>
      <c r="F170" s="465" t="s">
        <v>96</v>
      </c>
      <c r="G170" s="466">
        <v>0</v>
      </c>
      <c r="H170" s="466">
        <v>6</v>
      </c>
      <c r="I170" s="467">
        <v>0</v>
      </c>
      <c r="J170" s="468">
        <v>6</v>
      </c>
    </row>
    <row r="171" spans="1:10" ht="12.75" outlineLevel="2">
      <c r="A171" s="645">
        <v>1140718010</v>
      </c>
      <c r="B171" s="635" t="s">
        <v>476</v>
      </c>
      <c r="C171" s="635" t="s">
        <v>1774</v>
      </c>
      <c r="D171" s="635"/>
      <c r="E171" s="635" t="s">
        <v>1533</v>
      </c>
      <c r="F171" s="465" t="s">
        <v>118</v>
      </c>
      <c r="G171" s="466">
        <v>0</v>
      </c>
      <c r="H171" s="466">
        <v>34</v>
      </c>
      <c r="I171" s="467">
        <v>0</v>
      </c>
      <c r="J171" s="468">
        <v>34</v>
      </c>
    </row>
    <row r="172" spans="1:10" ht="12.75" outlineLevel="2">
      <c r="A172" s="645">
        <v>1140718011</v>
      </c>
      <c r="B172" s="635" t="s">
        <v>477</v>
      </c>
      <c r="C172" s="635" t="s">
        <v>1774</v>
      </c>
      <c r="D172" s="635"/>
      <c r="E172" s="635" t="s">
        <v>1533</v>
      </c>
      <c r="F172" s="465" t="s">
        <v>1845</v>
      </c>
      <c r="G172" s="466">
        <v>0</v>
      </c>
      <c r="H172" s="466">
        <v>35.314</v>
      </c>
      <c r="I172" s="467">
        <v>0</v>
      </c>
      <c r="J172" s="468">
        <v>35.314</v>
      </c>
    </row>
    <row r="173" spans="1:10" ht="12.75" outlineLevel="2">
      <c r="A173" s="645">
        <v>1140718011</v>
      </c>
      <c r="B173" s="635" t="s">
        <v>477</v>
      </c>
      <c r="C173" s="635" t="s">
        <v>1774</v>
      </c>
      <c r="D173" s="635"/>
      <c r="E173" s="635" t="s">
        <v>1533</v>
      </c>
      <c r="F173" s="465" t="s">
        <v>473</v>
      </c>
      <c r="G173" s="466">
        <v>0</v>
      </c>
      <c r="H173" s="466">
        <v>0.384</v>
      </c>
      <c r="I173" s="467">
        <v>0</v>
      </c>
      <c r="J173" s="468">
        <v>0.384</v>
      </c>
    </row>
    <row r="174" spans="1:10" ht="12.75" outlineLevel="2">
      <c r="A174" s="645">
        <v>1140718011</v>
      </c>
      <c r="B174" s="635" t="s">
        <v>477</v>
      </c>
      <c r="C174" s="635" t="s">
        <v>1774</v>
      </c>
      <c r="D174" s="635"/>
      <c r="E174" s="635" t="s">
        <v>1533</v>
      </c>
      <c r="F174" s="465" t="s">
        <v>96</v>
      </c>
      <c r="G174" s="466">
        <v>0</v>
      </c>
      <c r="H174" s="466">
        <v>20.691</v>
      </c>
      <c r="I174" s="467">
        <v>0</v>
      </c>
      <c r="J174" s="468">
        <v>20.691</v>
      </c>
    </row>
    <row r="175" spans="1:10" ht="12.75" outlineLevel="2">
      <c r="A175" s="645">
        <v>1140718011</v>
      </c>
      <c r="B175" s="635" t="s">
        <v>477</v>
      </c>
      <c r="C175" s="635" t="s">
        <v>1774</v>
      </c>
      <c r="D175" s="635"/>
      <c r="E175" s="635" t="s">
        <v>1533</v>
      </c>
      <c r="F175" s="465" t="s">
        <v>118</v>
      </c>
      <c r="G175" s="466">
        <v>0</v>
      </c>
      <c r="H175" s="466">
        <v>46.721</v>
      </c>
      <c r="I175" s="467">
        <v>0</v>
      </c>
      <c r="J175" s="468">
        <v>46.721</v>
      </c>
    </row>
    <row r="176" spans="1:10" ht="12.75" outlineLevel="2">
      <c r="A176" s="645">
        <v>1140718026</v>
      </c>
      <c r="B176" s="635" t="s">
        <v>478</v>
      </c>
      <c r="C176" s="635" t="s">
        <v>1559</v>
      </c>
      <c r="D176" s="635"/>
      <c r="E176" s="635" t="s">
        <v>1533</v>
      </c>
      <c r="F176" s="465" t="s">
        <v>96</v>
      </c>
      <c r="G176" s="466">
        <v>0</v>
      </c>
      <c r="H176" s="466">
        <v>4.5</v>
      </c>
      <c r="I176" s="467">
        <v>0</v>
      </c>
      <c r="J176" s="468">
        <v>4.5</v>
      </c>
    </row>
    <row r="177" spans="1:10" ht="12.75" outlineLevel="2">
      <c r="A177" s="645">
        <v>1140728001</v>
      </c>
      <c r="B177" s="635" t="s">
        <v>479</v>
      </c>
      <c r="C177" s="635" t="s">
        <v>1774</v>
      </c>
      <c r="D177" s="635"/>
      <c r="E177" s="635" t="s">
        <v>1533</v>
      </c>
      <c r="F177" s="465" t="s">
        <v>1845</v>
      </c>
      <c r="G177" s="466">
        <v>0</v>
      </c>
      <c r="H177" s="466">
        <v>0.3</v>
      </c>
      <c r="I177" s="467">
        <v>0</v>
      </c>
      <c r="J177" s="468">
        <v>0.3</v>
      </c>
    </row>
    <row r="178" spans="1:10" ht="12.75" outlineLevel="2">
      <c r="A178" s="645">
        <v>1140728001</v>
      </c>
      <c r="B178" s="635" t="s">
        <v>479</v>
      </c>
      <c r="C178" s="635" t="s">
        <v>1774</v>
      </c>
      <c r="D178" s="635"/>
      <c r="E178" s="635" t="s">
        <v>1533</v>
      </c>
      <c r="F178" s="465" t="s">
        <v>473</v>
      </c>
      <c r="G178" s="466">
        <v>0</v>
      </c>
      <c r="H178" s="466">
        <v>1.7</v>
      </c>
      <c r="I178" s="467">
        <v>0</v>
      </c>
      <c r="J178" s="468">
        <v>1.7</v>
      </c>
    </row>
    <row r="179" spans="1:10" ht="12.75" outlineLevel="2">
      <c r="A179" s="645">
        <v>1140728002</v>
      </c>
      <c r="B179" s="635" t="s">
        <v>480</v>
      </c>
      <c r="C179" s="635" t="s">
        <v>1774</v>
      </c>
      <c r="D179" s="635"/>
      <c r="E179" s="635" t="s">
        <v>1533</v>
      </c>
      <c r="F179" s="465" t="s">
        <v>1845</v>
      </c>
      <c r="G179" s="466">
        <v>0</v>
      </c>
      <c r="H179" s="466">
        <v>0.3</v>
      </c>
      <c r="I179" s="467">
        <v>0</v>
      </c>
      <c r="J179" s="468">
        <v>0.3</v>
      </c>
    </row>
    <row r="180" spans="1:10" ht="12.75" outlineLevel="2">
      <c r="A180" s="645">
        <v>1140728002</v>
      </c>
      <c r="B180" s="635" t="s">
        <v>480</v>
      </c>
      <c r="C180" s="635" t="s">
        <v>1774</v>
      </c>
      <c r="D180" s="635"/>
      <c r="E180" s="635" t="s">
        <v>1533</v>
      </c>
      <c r="F180" s="465" t="s">
        <v>473</v>
      </c>
      <c r="G180" s="466">
        <v>0</v>
      </c>
      <c r="H180" s="466">
        <v>1.7</v>
      </c>
      <c r="I180" s="467">
        <v>0</v>
      </c>
      <c r="J180" s="468">
        <v>1.7</v>
      </c>
    </row>
    <row r="181" spans="1:10" ht="12.75" outlineLevel="2">
      <c r="A181" s="645">
        <v>1140728003</v>
      </c>
      <c r="B181" s="635" t="s">
        <v>481</v>
      </c>
      <c r="C181" s="635" t="s">
        <v>1774</v>
      </c>
      <c r="D181" s="635"/>
      <c r="E181" s="635" t="s">
        <v>1533</v>
      </c>
      <c r="F181" s="465" t="s">
        <v>1845</v>
      </c>
      <c r="G181" s="466">
        <v>0</v>
      </c>
      <c r="H181" s="466">
        <v>6</v>
      </c>
      <c r="I181" s="467">
        <v>0</v>
      </c>
      <c r="J181" s="468">
        <v>6</v>
      </c>
    </row>
    <row r="182" spans="1:10" ht="12.75" outlineLevel="2">
      <c r="A182" s="645">
        <v>1140728003</v>
      </c>
      <c r="B182" s="635" t="s">
        <v>481</v>
      </c>
      <c r="C182" s="635" t="s">
        <v>1774</v>
      </c>
      <c r="D182" s="635"/>
      <c r="E182" s="635" t="s">
        <v>1533</v>
      </c>
      <c r="F182" s="465" t="s">
        <v>473</v>
      </c>
      <c r="G182" s="466">
        <v>0</v>
      </c>
      <c r="H182" s="466">
        <v>34</v>
      </c>
      <c r="I182" s="467">
        <v>0</v>
      </c>
      <c r="J182" s="468">
        <v>34</v>
      </c>
    </row>
    <row r="183" spans="1:10" ht="12.75" outlineLevel="2">
      <c r="A183" s="645">
        <v>1140728004</v>
      </c>
      <c r="B183" s="635" t="s">
        <v>482</v>
      </c>
      <c r="C183" s="635" t="s">
        <v>1774</v>
      </c>
      <c r="D183" s="635"/>
      <c r="E183" s="635" t="s">
        <v>1533</v>
      </c>
      <c r="F183" s="465" t="s">
        <v>1845</v>
      </c>
      <c r="G183" s="466">
        <v>0</v>
      </c>
      <c r="H183" s="466">
        <v>0.15</v>
      </c>
      <c r="I183" s="467">
        <v>0</v>
      </c>
      <c r="J183" s="468">
        <v>0.15</v>
      </c>
    </row>
    <row r="184" spans="1:10" ht="12.75" outlineLevel="2">
      <c r="A184" s="645">
        <v>1140728004</v>
      </c>
      <c r="B184" s="635" t="s">
        <v>482</v>
      </c>
      <c r="C184" s="635" t="s">
        <v>1774</v>
      </c>
      <c r="D184" s="635"/>
      <c r="E184" s="635" t="s">
        <v>1533</v>
      </c>
      <c r="F184" s="465" t="s">
        <v>473</v>
      </c>
      <c r="G184" s="466">
        <v>0</v>
      </c>
      <c r="H184" s="466">
        <v>0.85</v>
      </c>
      <c r="I184" s="467">
        <v>0</v>
      </c>
      <c r="J184" s="468">
        <v>0.85</v>
      </c>
    </row>
    <row r="185" spans="1:10" ht="12.75" outlineLevel="2">
      <c r="A185" s="645">
        <v>1140728005</v>
      </c>
      <c r="B185" s="635" t="s">
        <v>483</v>
      </c>
      <c r="C185" s="635" t="s">
        <v>1774</v>
      </c>
      <c r="D185" s="635"/>
      <c r="E185" s="635" t="s">
        <v>1533</v>
      </c>
      <c r="F185" s="465" t="s">
        <v>1845</v>
      </c>
      <c r="G185" s="466">
        <v>0</v>
      </c>
      <c r="H185" s="466">
        <v>0.15</v>
      </c>
      <c r="I185" s="467">
        <v>0</v>
      </c>
      <c r="J185" s="468">
        <v>0.15</v>
      </c>
    </row>
    <row r="186" spans="1:10" ht="12.75" outlineLevel="2">
      <c r="A186" s="645">
        <v>1140728005</v>
      </c>
      <c r="B186" s="635" t="s">
        <v>483</v>
      </c>
      <c r="C186" s="635" t="s">
        <v>1774</v>
      </c>
      <c r="D186" s="635"/>
      <c r="E186" s="635" t="s">
        <v>1533</v>
      </c>
      <c r="F186" s="465" t="s">
        <v>473</v>
      </c>
      <c r="G186" s="466">
        <v>0</v>
      </c>
      <c r="H186" s="466">
        <v>0.85</v>
      </c>
      <c r="I186" s="467">
        <v>0</v>
      </c>
      <c r="J186" s="468">
        <v>0.85</v>
      </c>
    </row>
    <row r="187" spans="1:10" ht="12.75" outlineLevel="2">
      <c r="A187" s="645">
        <v>1140728006</v>
      </c>
      <c r="B187" s="635" t="s">
        <v>484</v>
      </c>
      <c r="C187" s="635" t="s">
        <v>1774</v>
      </c>
      <c r="D187" s="635"/>
      <c r="E187" s="635" t="s">
        <v>1533</v>
      </c>
      <c r="F187" s="465" t="s">
        <v>1845</v>
      </c>
      <c r="G187" s="466">
        <v>0</v>
      </c>
      <c r="H187" s="466">
        <v>0.3</v>
      </c>
      <c r="I187" s="467">
        <v>0</v>
      </c>
      <c r="J187" s="468">
        <v>0.3</v>
      </c>
    </row>
    <row r="188" spans="1:10" ht="12.75" outlineLevel="2">
      <c r="A188" s="645">
        <v>1140728006</v>
      </c>
      <c r="B188" s="635" t="s">
        <v>484</v>
      </c>
      <c r="C188" s="635" t="s">
        <v>1774</v>
      </c>
      <c r="D188" s="635"/>
      <c r="E188" s="635" t="s">
        <v>1533</v>
      </c>
      <c r="F188" s="465" t="s">
        <v>473</v>
      </c>
      <c r="G188" s="466">
        <v>0</v>
      </c>
      <c r="H188" s="466">
        <v>1.7</v>
      </c>
      <c r="I188" s="467">
        <v>0</v>
      </c>
      <c r="J188" s="468">
        <v>1.7</v>
      </c>
    </row>
    <row r="189" spans="1:10" ht="12.75" outlineLevel="2">
      <c r="A189" s="645">
        <v>1140728007</v>
      </c>
      <c r="B189" s="635" t="s">
        <v>1120</v>
      </c>
      <c r="C189" s="635" t="s">
        <v>1774</v>
      </c>
      <c r="D189" s="635"/>
      <c r="E189" s="635" t="s">
        <v>1533</v>
      </c>
      <c r="F189" s="465" t="s">
        <v>1845</v>
      </c>
      <c r="G189" s="466">
        <v>0</v>
      </c>
      <c r="H189" s="466">
        <v>0.112</v>
      </c>
      <c r="I189" s="467">
        <v>0</v>
      </c>
      <c r="J189" s="468">
        <v>0.112</v>
      </c>
    </row>
    <row r="190" spans="1:10" ht="12.75" outlineLevel="2">
      <c r="A190" s="645">
        <v>1140728007</v>
      </c>
      <c r="B190" s="635" t="s">
        <v>1120</v>
      </c>
      <c r="C190" s="635" t="s">
        <v>1774</v>
      </c>
      <c r="D190" s="635"/>
      <c r="E190" s="635" t="s">
        <v>1533</v>
      </c>
      <c r="F190" s="465" t="s">
        <v>473</v>
      </c>
      <c r="G190" s="466">
        <v>0</v>
      </c>
      <c r="H190" s="466">
        <v>0.638</v>
      </c>
      <c r="I190" s="467">
        <v>0</v>
      </c>
      <c r="J190" s="468">
        <v>0.638</v>
      </c>
    </row>
    <row r="191" spans="1:10" ht="12.75" outlineLevel="2">
      <c r="A191" s="645">
        <v>1140728008</v>
      </c>
      <c r="B191" s="635" t="s">
        <v>1121</v>
      </c>
      <c r="C191" s="635" t="s">
        <v>1774</v>
      </c>
      <c r="D191" s="635"/>
      <c r="E191" s="635" t="s">
        <v>1533</v>
      </c>
      <c r="F191" s="465" t="s">
        <v>1845</v>
      </c>
      <c r="G191" s="466">
        <v>0</v>
      </c>
      <c r="H191" s="466">
        <v>0.3</v>
      </c>
      <c r="I191" s="467">
        <v>0</v>
      </c>
      <c r="J191" s="468">
        <v>0.3</v>
      </c>
    </row>
    <row r="192" spans="1:10" ht="12.75" outlineLevel="2">
      <c r="A192" s="645">
        <v>1140728008</v>
      </c>
      <c r="B192" s="635" t="s">
        <v>1121</v>
      </c>
      <c r="C192" s="635" t="s">
        <v>1774</v>
      </c>
      <c r="D192" s="635"/>
      <c r="E192" s="635" t="s">
        <v>1533</v>
      </c>
      <c r="F192" s="465" t="s">
        <v>473</v>
      </c>
      <c r="G192" s="466">
        <v>0</v>
      </c>
      <c r="H192" s="466">
        <v>1.7</v>
      </c>
      <c r="I192" s="467">
        <v>0</v>
      </c>
      <c r="J192" s="468">
        <v>1.7</v>
      </c>
    </row>
    <row r="193" spans="1:10" ht="12.75" outlineLevel="2">
      <c r="A193" s="645">
        <v>1140728009</v>
      </c>
      <c r="B193" s="635" t="s">
        <v>1122</v>
      </c>
      <c r="C193" s="635" t="s">
        <v>1774</v>
      </c>
      <c r="D193" s="635"/>
      <c r="E193" s="635" t="s">
        <v>1533</v>
      </c>
      <c r="F193" s="465" t="s">
        <v>1845</v>
      </c>
      <c r="G193" s="466">
        <v>0</v>
      </c>
      <c r="H193" s="466">
        <v>0.15</v>
      </c>
      <c r="I193" s="467">
        <v>0</v>
      </c>
      <c r="J193" s="468">
        <v>0.15</v>
      </c>
    </row>
    <row r="194" spans="1:10" ht="12.75" outlineLevel="2">
      <c r="A194" s="645">
        <v>1140728009</v>
      </c>
      <c r="B194" s="635" t="s">
        <v>1122</v>
      </c>
      <c r="C194" s="635" t="s">
        <v>1774</v>
      </c>
      <c r="D194" s="635"/>
      <c r="E194" s="635" t="s">
        <v>1533</v>
      </c>
      <c r="F194" s="465" t="s">
        <v>473</v>
      </c>
      <c r="G194" s="466">
        <v>0</v>
      </c>
      <c r="H194" s="466">
        <v>0.85</v>
      </c>
      <c r="I194" s="467">
        <v>0</v>
      </c>
      <c r="J194" s="468">
        <v>0.85</v>
      </c>
    </row>
    <row r="195" spans="1:10" ht="12.75" outlineLevel="2">
      <c r="A195" s="645">
        <v>1140728010</v>
      </c>
      <c r="B195" s="635" t="s">
        <v>1123</v>
      </c>
      <c r="C195" s="635" t="s">
        <v>1774</v>
      </c>
      <c r="D195" s="635"/>
      <c r="E195" s="635" t="s">
        <v>1533</v>
      </c>
      <c r="F195" s="465" t="s">
        <v>1845</v>
      </c>
      <c r="G195" s="466">
        <v>0</v>
      </c>
      <c r="H195" s="466">
        <v>0.75</v>
      </c>
      <c r="I195" s="467">
        <v>0</v>
      </c>
      <c r="J195" s="468">
        <v>0.75</v>
      </c>
    </row>
    <row r="196" spans="1:10" ht="12.75" outlineLevel="2">
      <c r="A196" s="645">
        <v>1140728010</v>
      </c>
      <c r="B196" s="635" t="s">
        <v>1123</v>
      </c>
      <c r="C196" s="635" t="s">
        <v>1774</v>
      </c>
      <c r="D196" s="635"/>
      <c r="E196" s="635" t="s">
        <v>1533</v>
      </c>
      <c r="F196" s="465" t="s">
        <v>473</v>
      </c>
      <c r="G196" s="466">
        <v>0</v>
      </c>
      <c r="H196" s="466">
        <v>4.25</v>
      </c>
      <c r="I196" s="467">
        <v>0</v>
      </c>
      <c r="J196" s="468">
        <v>4.25</v>
      </c>
    </row>
    <row r="197" spans="1:10" ht="12.75" outlineLevel="2">
      <c r="A197" s="645">
        <v>1140728011</v>
      </c>
      <c r="B197" s="635" t="s">
        <v>1124</v>
      </c>
      <c r="C197" s="635" t="s">
        <v>1774</v>
      </c>
      <c r="D197" s="635"/>
      <c r="E197" s="635" t="s">
        <v>1533</v>
      </c>
      <c r="F197" s="465" t="s">
        <v>1845</v>
      </c>
      <c r="G197" s="466">
        <v>0</v>
      </c>
      <c r="H197" s="466">
        <v>0.3</v>
      </c>
      <c r="I197" s="467">
        <v>0</v>
      </c>
      <c r="J197" s="468">
        <v>0.3</v>
      </c>
    </row>
    <row r="198" spans="1:10" ht="12.75" outlineLevel="2">
      <c r="A198" s="645">
        <v>1140728011</v>
      </c>
      <c r="B198" s="635" t="s">
        <v>1124</v>
      </c>
      <c r="C198" s="635" t="s">
        <v>1774</v>
      </c>
      <c r="D198" s="635"/>
      <c r="E198" s="635" t="s">
        <v>1533</v>
      </c>
      <c r="F198" s="465" t="s">
        <v>473</v>
      </c>
      <c r="G198" s="466">
        <v>0</v>
      </c>
      <c r="H198" s="466">
        <v>1.7</v>
      </c>
      <c r="I198" s="467">
        <v>0</v>
      </c>
      <c r="J198" s="468">
        <v>1.7</v>
      </c>
    </row>
    <row r="199" spans="1:10" ht="12.75" outlineLevel="2">
      <c r="A199" s="645">
        <v>1140728012</v>
      </c>
      <c r="B199" s="635" t="s">
        <v>1125</v>
      </c>
      <c r="C199" s="635" t="s">
        <v>1774</v>
      </c>
      <c r="D199" s="635"/>
      <c r="E199" s="635" t="s">
        <v>1533</v>
      </c>
      <c r="F199" s="465" t="s">
        <v>1845</v>
      </c>
      <c r="G199" s="466">
        <v>0</v>
      </c>
      <c r="H199" s="466">
        <v>1.5</v>
      </c>
      <c r="I199" s="467">
        <v>0</v>
      </c>
      <c r="J199" s="468">
        <v>1.5</v>
      </c>
    </row>
    <row r="200" spans="1:10" ht="12.75" outlineLevel="2">
      <c r="A200" s="645">
        <v>1140728012</v>
      </c>
      <c r="B200" s="635" t="s">
        <v>1125</v>
      </c>
      <c r="C200" s="635" t="s">
        <v>1774</v>
      </c>
      <c r="D200" s="635"/>
      <c r="E200" s="635" t="s">
        <v>1533</v>
      </c>
      <c r="F200" s="465" t="s">
        <v>473</v>
      </c>
      <c r="G200" s="466">
        <v>0</v>
      </c>
      <c r="H200" s="466">
        <v>8.5</v>
      </c>
      <c r="I200" s="467">
        <v>0</v>
      </c>
      <c r="J200" s="468">
        <v>8.5</v>
      </c>
    </row>
    <row r="201" spans="1:10" ht="12.75" outlineLevel="2">
      <c r="A201" s="645">
        <v>1140728013</v>
      </c>
      <c r="B201" s="635" t="s">
        <v>1126</v>
      </c>
      <c r="C201" s="635" t="s">
        <v>1774</v>
      </c>
      <c r="D201" s="635"/>
      <c r="E201" s="635" t="s">
        <v>1533</v>
      </c>
      <c r="F201" s="465" t="s">
        <v>1845</v>
      </c>
      <c r="G201" s="466">
        <v>0</v>
      </c>
      <c r="H201" s="466">
        <v>7.175</v>
      </c>
      <c r="I201" s="467">
        <v>0</v>
      </c>
      <c r="J201" s="468">
        <v>7.175</v>
      </c>
    </row>
    <row r="202" spans="1:10" ht="12.75" outlineLevel="2">
      <c r="A202" s="645">
        <v>1140728013</v>
      </c>
      <c r="B202" s="635" t="s">
        <v>1126</v>
      </c>
      <c r="C202" s="635" t="s">
        <v>1774</v>
      </c>
      <c r="D202" s="635"/>
      <c r="E202" s="635" t="s">
        <v>1533</v>
      </c>
      <c r="F202" s="465" t="s">
        <v>473</v>
      </c>
      <c r="G202" s="466">
        <v>0</v>
      </c>
      <c r="H202" s="466">
        <v>40.659</v>
      </c>
      <c r="I202" s="467">
        <v>0</v>
      </c>
      <c r="J202" s="468">
        <v>40.659</v>
      </c>
    </row>
    <row r="203" spans="1:10" ht="12.75" outlineLevel="2">
      <c r="A203" s="645">
        <v>1140728014</v>
      </c>
      <c r="B203" s="635" t="s">
        <v>1127</v>
      </c>
      <c r="C203" s="635" t="s">
        <v>1774</v>
      </c>
      <c r="D203" s="635"/>
      <c r="E203" s="635" t="s">
        <v>1533</v>
      </c>
      <c r="F203" s="465" t="s">
        <v>1845</v>
      </c>
      <c r="G203" s="466">
        <v>0</v>
      </c>
      <c r="H203" s="466">
        <v>4.303</v>
      </c>
      <c r="I203" s="467">
        <v>0</v>
      </c>
      <c r="J203" s="468">
        <v>4.303</v>
      </c>
    </row>
    <row r="204" spans="1:10" ht="12.75" outlineLevel="2">
      <c r="A204" s="645">
        <v>1140728014</v>
      </c>
      <c r="B204" s="635" t="s">
        <v>1127</v>
      </c>
      <c r="C204" s="635" t="s">
        <v>1774</v>
      </c>
      <c r="D204" s="635"/>
      <c r="E204" s="635" t="s">
        <v>1533</v>
      </c>
      <c r="F204" s="465" t="s">
        <v>473</v>
      </c>
      <c r="G204" s="466">
        <v>0</v>
      </c>
      <c r="H204" s="466">
        <v>24.383</v>
      </c>
      <c r="I204" s="467">
        <v>0</v>
      </c>
      <c r="J204" s="468">
        <v>24.383</v>
      </c>
    </row>
    <row r="205" spans="1:10" ht="12.75" outlineLevel="2">
      <c r="A205" s="645">
        <v>1140728015</v>
      </c>
      <c r="B205" s="635" t="s">
        <v>1128</v>
      </c>
      <c r="C205" s="635" t="s">
        <v>1774</v>
      </c>
      <c r="D205" s="635"/>
      <c r="E205" s="635" t="s">
        <v>1533</v>
      </c>
      <c r="F205" s="465" t="s">
        <v>1845</v>
      </c>
      <c r="G205" s="466">
        <v>0</v>
      </c>
      <c r="H205" s="466">
        <v>0.684</v>
      </c>
      <c r="I205" s="467">
        <v>0</v>
      </c>
      <c r="J205" s="468">
        <v>0.684</v>
      </c>
    </row>
    <row r="206" spans="1:10" ht="12.75" outlineLevel="2">
      <c r="A206" s="645">
        <v>1140728015</v>
      </c>
      <c r="B206" s="635" t="s">
        <v>1128</v>
      </c>
      <c r="C206" s="635" t="s">
        <v>1774</v>
      </c>
      <c r="D206" s="635"/>
      <c r="E206" s="635" t="s">
        <v>1533</v>
      </c>
      <c r="F206" s="465" t="s">
        <v>473</v>
      </c>
      <c r="G206" s="466">
        <v>0</v>
      </c>
      <c r="H206" s="466">
        <v>3.876</v>
      </c>
      <c r="I206" s="467">
        <v>0</v>
      </c>
      <c r="J206" s="468">
        <v>3.876</v>
      </c>
    </row>
    <row r="207" spans="1:10" ht="12.75" outlineLevel="2">
      <c r="A207" s="645">
        <v>1140728016</v>
      </c>
      <c r="B207" s="635" t="s">
        <v>280</v>
      </c>
      <c r="C207" s="635" t="s">
        <v>1774</v>
      </c>
      <c r="D207" s="635"/>
      <c r="E207" s="635" t="s">
        <v>1533</v>
      </c>
      <c r="F207" s="465" t="s">
        <v>1845</v>
      </c>
      <c r="G207" s="466">
        <v>0</v>
      </c>
      <c r="H207" s="466">
        <v>1.026</v>
      </c>
      <c r="I207" s="467">
        <v>0</v>
      </c>
      <c r="J207" s="468">
        <v>1.026</v>
      </c>
    </row>
    <row r="208" spans="1:10" ht="12.75" outlineLevel="2">
      <c r="A208" s="645">
        <v>1140728016</v>
      </c>
      <c r="B208" s="635" t="s">
        <v>280</v>
      </c>
      <c r="C208" s="635" t="s">
        <v>1774</v>
      </c>
      <c r="D208" s="635"/>
      <c r="E208" s="635" t="s">
        <v>1533</v>
      </c>
      <c r="F208" s="465" t="s">
        <v>473</v>
      </c>
      <c r="G208" s="466">
        <v>0</v>
      </c>
      <c r="H208" s="466">
        <v>5.814</v>
      </c>
      <c r="I208" s="467">
        <v>0</v>
      </c>
      <c r="J208" s="468">
        <v>5.814</v>
      </c>
    </row>
    <row r="209" spans="1:10" ht="12.75" outlineLevel="2">
      <c r="A209" s="645">
        <v>1140728020</v>
      </c>
      <c r="B209" s="635" t="s">
        <v>281</v>
      </c>
      <c r="C209" s="635" t="s">
        <v>1774</v>
      </c>
      <c r="D209" s="635"/>
      <c r="E209" s="635" t="s">
        <v>1533</v>
      </c>
      <c r="F209" s="465" t="s">
        <v>1845</v>
      </c>
      <c r="G209" s="466">
        <v>0</v>
      </c>
      <c r="H209" s="466">
        <v>0.06</v>
      </c>
      <c r="I209" s="467">
        <v>0</v>
      </c>
      <c r="J209" s="468">
        <v>0.06</v>
      </c>
    </row>
    <row r="210" spans="1:10" ht="12.75" outlineLevel="2">
      <c r="A210" s="645">
        <v>1140728020</v>
      </c>
      <c r="B210" s="635" t="s">
        <v>281</v>
      </c>
      <c r="C210" s="635" t="s">
        <v>1774</v>
      </c>
      <c r="D210" s="635"/>
      <c r="E210" s="635" t="s">
        <v>1533</v>
      </c>
      <c r="F210" s="465" t="s">
        <v>473</v>
      </c>
      <c r="G210" s="466">
        <v>0</v>
      </c>
      <c r="H210" s="466">
        <v>0.34</v>
      </c>
      <c r="I210" s="467">
        <v>0</v>
      </c>
      <c r="J210" s="468">
        <v>0.34</v>
      </c>
    </row>
    <row r="211" spans="1:10" ht="12.75" outlineLevel="2">
      <c r="A211" s="645">
        <v>1140728021</v>
      </c>
      <c r="B211" s="635" t="s">
        <v>282</v>
      </c>
      <c r="C211" s="635" t="s">
        <v>1774</v>
      </c>
      <c r="D211" s="635"/>
      <c r="E211" s="635" t="s">
        <v>1533</v>
      </c>
      <c r="F211" s="465" t="s">
        <v>1845</v>
      </c>
      <c r="G211" s="466">
        <v>0</v>
      </c>
      <c r="H211" s="466">
        <v>0.716</v>
      </c>
      <c r="I211" s="467">
        <v>0</v>
      </c>
      <c r="J211" s="468">
        <v>0.716</v>
      </c>
    </row>
    <row r="212" spans="1:10" ht="12.75" outlineLevel="2">
      <c r="A212" s="645">
        <v>1140728021</v>
      </c>
      <c r="B212" s="635" t="s">
        <v>282</v>
      </c>
      <c r="C212" s="635" t="s">
        <v>1774</v>
      </c>
      <c r="D212" s="635"/>
      <c r="E212" s="635" t="s">
        <v>1533</v>
      </c>
      <c r="F212" s="465" t="s">
        <v>473</v>
      </c>
      <c r="G212" s="466">
        <v>0</v>
      </c>
      <c r="H212" s="466">
        <v>4.055</v>
      </c>
      <c r="I212" s="467">
        <v>0</v>
      </c>
      <c r="J212" s="468">
        <v>4.055</v>
      </c>
    </row>
    <row r="213" spans="1:10" ht="12.75" outlineLevel="2">
      <c r="A213" s="645">
        <v>1140728022</v>
      </c>
      <c r="B213" s="635" t="s">
        <v>283</v>
      </c>
      <c r="C213" s="635" t="s">
        <v>1774</v>
      </c>
      <c r="D213" s="635"/>
      <c r="E213" s="635" t="s">
        <v>1533</v>
      </c>
      <c r="F213" s="465" t="s">
        <v>1845</v>
      </c>
      <c r="G213" s="466">
        <v>0</v>
      </c>
      <c r="H213" s="466">
        <v>0.195</v>
      </c>
      <c r="I213" s="467">
        <v>0</v>
      </c>
      <c r="J213" s="468">
        <v>0.195</v>
      </c>
    </row>
    <row r="214" spans="1:10" ht="13.5" outlineLevel="2" thickBot="1">
      <c r="A214" s="646">
        <v>1140728022</v>
      </c>
      <c r="B214" s="636" t="s">
        <v>283</v>
      </c>
      <c r="C214" s="636" t="s">
        <v>1774</v>
      </c>
      <c r="D214" s="636"/>
      <c r="E214" s="636" t="s">
        <v>1533</v>
      </c>
      <c r="F214" s="469" t="s">
        <v>473</v>
      </c>
      <c r="G214" s="470">
        <v>0</v>
      </c>
      <c r="H214" s="470">
        <v>1.105</v>
      </c>
      <c r="I214" s="471">
        <v>0</v>
      </c>
      <c r="J214" s="472">
        <v>1.105</v>
      </c>
    </row>
    <row r="215" spans="1:10" s="149" customFormat="1" ht="13.5" outlineLevel="1" thickBot="1">
      <c r="A215" s="648" t="s">
        <v>284</v>
      </c>
      <c r="B215" s="637"/>
      <c r="C215" s="637"/>
      <c r="D215" s="637"/>
      <c r="E215" s="637"/>
      <c r="F215" s="458"/>
      <c r="G215" s="459">
        <f>SUBTOTAL(9,G149:G214)</f>
        <v>0</v>
      </c>
      <c r="H215" s="459">
        <f>SUBTOTAL(9,H149:H214)</f>
        <v>672.6009999999999</v>
      </c>
      <c r="I215" s="473">
        <f>SUBTOTAL(9,I149:I214)</f>
        <v>0</v>
      </c>
      <c r="J215" s="474">
        <f>SUBTOTAL(9,J149:J214)</f>
        <v>672.6009999999999</v>
      </c>
    </row>
    <row r="216" spans="1:10" ht="12.75" outlineLevel="2">
      <c r="A216" s="644">
        <v>1142338001</v>
      </c>
      <c r="B216" s="634" t="s">
        <v>285</v>
      </c>
      <c r="C216" s="634" t="s">
        <v>1777</v>
      </c>
      <c r="D216" s="634"/>
      <c r="E216" s="634" t="s">
        <v>1494</v>
      </c>
      <c r="F216" s="461" t="s">
        <v>1845</v>
      </c>
      <c r="G216" s="462">
        <v>0</v>
      </c>
      <c r="H216" s="462">
        <v>0.031</v>
      </c>
      <c r="I216" s="463">
        <v>0.03</v>
      </c>
      <c r="J216" s="464">
        <v>0.001</v>
      </c>
    </row>
    <row r="217" spans="1:10" ht="12.75" outlineLevel="2">
      <c r="A217" s="645">
        <v>1142338001</v>
      </c>
      <c r="B217" s="635" t="s">
        <v>285</v>
      </c>
      <c r="C217" s="635" t="s">
        <v>1777</v>
      </c>
      <c r="D217" s="635"/>
      <c r="E217" s="635" t="s">
        <v>1494</v>
      </c>
      <c r="F217" s="465" t="s">
        <v>96</v>
      </c>
      <c r="G217" s="466">
        <v>5</v>
      </c>
      <c r="H217" s="466">
        <v>4.928</v>
      </c>
      <c r="I217" s="467">
        <v>4.927</v>
      </c>
      <c r="J217" s="468">
        <v>0.001</v>
      </c>
    </row>
    <row r="218" spans="1:10" ht="12.75" outlineLevel="2">
      <c r="A218" s="645">
        <v>1142338002</v>
      </c>
      <c r="B218" s="635" t="s">
        <v>285</v>
      </c>
      <c r="C218" s="635" t="s">
        <v>1802</v>
      </c>
      <c r="D218" s="635"/>
      <c r="E218" s="635" t="s">
        <v>1494</v>
      </c>
      <c r="F218" s="465" t="s">
        <v>96</v>
      </c>
      <c r="G218" s="466">
        <v>195</v>
      </c>
      <c r="H218" s="466">
        <v>29.691</v>
      </c>
      <c r="I218" s="467">
        <v>29.688</v>
      </c>
      <c r="J218" s="468">
        <v>0.003</v>
      </c>
    </row>
    <row r="219" spans="1:10" ht="12.75" outlineLevel="2">
      <c r="A219" s="645">
        <v>1142338003</v>
      </c>
      <c r="B219" s="635" t="s">
        <v>285</v>
      </c>
      <c r="C219" s="635" t="s">
        <v>1780</v>
      </c>
      <c r="D219" s="635"/>
      <c r="E219" s="635" t="s">
        <v>1494</v>
      </c>
      <c r="F219" s="465" t="s">
        <v>96</v>
      </c>
      <c r="G219" s="466">
        <v>0</v>
      </c>
      <c r="H219" s="466">
        <v>4.956</v>
      </c>
      <c r="I219" s="467">
        <v>4.955</v>
      </c>
      <c r="J219" s="468">
        <v>0.001</v>
      </c>
    </row>
    <row r="220" spans="1:10" ht="12.75" outlineLevel="2">
      <c r="A220" s="645">
        <v>1142338004</v>
      </c>
      <c r="B220" s="635" t="s">
        <v>285</v>
      </c>
      <c r="C220" s="635" t="s">
        <v>1782</v>
      </c>
      <c r="D220" s="635"/>
      <c r="E220" s="635" t="s">
        <v>1494</v>
      </c>
      <c r="F220" s="465" t="s">
        <v>1845</v>
      </c>
      <c r="G220" s="466">
        <v>0</v>
      </c>
      <c r="H220" s="466">
        <v>0.043</v>
      </c>
      <c r="I220" s="467">
        <v>0.042</v>
      </c>
      <c r="J220" s="468">
        <v>0.001</v>
      </c>
    </row>
    <row r="221" spans="1:10" ht="12.75" outlineLevel="2">
      <c r="A221" s="645">
        <v>1142338004</v>
      </c>
      <c r="B221" s="635" t="s">
        <v>285</v>
      </c>
      <c r="C221" s="635" t="s">
        <v>1782</v>
      </c>
      <c r="D221" s="635"/>
      <c r="E221" s="635" t="s">
        <v>1494</v>
      </c>
      <c r="F221" s="465" t="s">
        <v>96</v>
      </c>
      <c r="G221" s="466">
        <v>0</v>
      </c>
      <c r="H221" s="466">
        <v>9.85</v>
      </c>
      <c r="I221" s="467">
        <v>9.85</v>
      </c>
      <c r="J221" s="468">
        <v>0</v>
      </c>
    </row>
    <row r="222" spans="1:10" ht="12.75" outlineLevel="2">
      <c r="A222" s="645">
        <v>1142338005</v>
      </c>
      <c r="B222" s="635" t="s">
        <v>285</v>
      </c>
      <c r="C222" s="635" t="s">
        <v>1800</v>
      </c>
      <c r="D222" s="635"/>
      <c r="E222" s="635" t="s">
        <v>1494</v>
      </c>
      <c r="F222" s="465" t="s">
        <v>96</v>
      </c>
      <c r="G222" s="466">
        <v>0</v>
      </c>
      <c r="H222" s="466">
        <v>14.846</v>
      </c>
      <c r="I222" s="467">
        <v>14.846</v>
      </c>
      <c r="J222" s="468">
        <v>0</v>
      </c>
    </row>
    <row r="223" spans="1:10" ht="12.75" outlineLevel="2">
      <c r="A223" s="645">
        <v>1142338006</v>
      </c>
      <c r="B223" s="635" t="s">
        <v>285</v>
      </c>
      <c r="C223" s="635" t="s">
        <v>1786</v>
      </c>
      <c r="D223" s="635"/>
      <c r="E223" s="635" t="s">
        <v>1494</v>
      </c>
      <c r="F223" s="465" t="s">
        <v>1845</v>
      </c>
      <c r="G223" s="466">
        <v>0</v>
      </c>
      <c r="H223" s="466">
        <v>0.022</v>
      </c>
      <c r="I223" s="467">
        <v>0.02</v>
      </c>
      <c r="J223" s="468">
        <v>0.002</v>
      </c>
    </row>
    <row r="224" spans="1:10" ht="12.75" outlineLevel="2">
      <c r="A224" s="645">
        <v>1142338006</v>
      </c>
      <c r="B224" s="635" t="s">
        <v>285</v>
      </c>
      <c r="C224" s="635" t="s">
        <v>1786</v>
      </c>
      <c r="D224" s="635"/>
      <c r="E224" s="635" t="s">
        <v>1494</v>
      </c>
      <c r="F224" s="465" t="s">
        <v>96</v>
      </c>
      <c r="G224" s="466">
        <v>0</v>
      </c>
      <c r="H224" s="466">
        <v>4.927</v>
      </c>
      <c r="I224" s="467">
        <v>4.926</v>
      </c>
      <c r="J224" s="468">
        <v>0.001</v>
      </c>
    </row>
    <row r="225" spans="1:10" ht="12.75" outlineLevel="2">
      <c r="A225" s="645">
        <v>1142338007</v>
      </c>
      <c r="B225" s="635" t="s">
        <v>285</v>
      </c>
      <c r="C225" s="635" t="s">
        <v>1804</v>
      </c>
      <c r="D225" s="635"/>
      <c r="E225" s="635" t="s">
        <v>1494</v>
      </c>
      <c r="F225" s="465" t="s">
        <v>1845</v>
      </c>
      <c r="G225" s="466">
        <v>0</v>
      </c>
      <c r="H225" s="466">
        <v>0.048</v>
      </c>
      <c r="I225" s="467">
        <v>0.048</v>
      </c>
      <c r="J225" s="468">
        <v>0</v>
      </c>
    </row>
    <row r="226" spans="1:10" ht="12.75" outlineLevel="2">
      <c r="A226" s="645">
        <v>1142338007</v>
      </c>
      <c r="B226" s="635" t="s">
        <v>285</v>
      </c>
      <c r="C226" s="635" t="s">
        <v>1804</v>
      </c>
      <c r="D226" s="635"/>
      <c r="E226" s="635" t="s">
        <v>1494</v>
      </c>
      <c r="F226" s="465" t="s">
        <v>96</v>
      </c>
      <c r="G226" s="466">
        <v>0</v>
      </c>
      <c r="H226" s="466">
        <v>14.79</v>
      </c>
      <c r="I226" s="467">
        <v>14.788</v>
      </c>
      <c r="J226" s="468">
        <v>0.002</v>
      </c>
    </row>
    <row r="227" spans="1:10" ht="12.75" outlineLevel="2">
      <c r="A227" s="645">
        <v>1142338008</v>
      </c>
      <c r="B227" s="635" t="s">
        <v>285</v>
      </c>
      <c r="C227" s="635" t="s">
        <v>1792</v>
      </c>
      <c r="D227" s="635"/>
      <c r="E227" s="635" t="s">
        <v>1494</v>
      </c>
      <c r="F227" s="465" t="s">
        <v>96</v>
      </c>
      <c r="G227" s="466">
        <v>0</v>
      </c>
      <c r="H227" s="466">
        <v>9.897</v>
      </c>
      <c r="I227" s="467">
        <v>9.897</v>
      </c>
      <c r="J227" s="468">
        <v>0</v>
      </c>
    </row>
    <row r="228" spans="1:10" ht="12.75" outlineLevel="2">
      <c r="A228" s="645">
        <v>1142338009</v>
      </c>
      <c r="B228" s="635" t="s">
        <v>285</v>
      </c>
      <c r="C228" s="635" t="s">
        <v>1790</v>
      </c>
      <c r="D228" s="635"/>
      <c r="E228" s="635" t="s">
        <v>1494</v>
      </c>
      <c r="F228" s="465" t="s">
        <v>96</v>
      </c>
      <c r="G228" s="466">
        <v>0</v>
      </c>
      <c r="H228" s="466">
        <v>14.846</v>
      </c>
      <c r="I228" s="467">
        <v>14.84</v>
      </c>
      <c r="J228" s="468">
        <v>0.006</v>
      </c>
    </row>
    <row r="229" spans="1:10" ht="12.75" outlineLevel="2">
      <c r="A229" s="645">
        <v>1142338010</v>
      </c>
      <c r="B229" s="635" t="s">
        <v>285</v>
      </c>
      <c r="C229" s="635" t="s">
        <v>1798</v>
      </c>
      <c r="D229" s="635"/>
      <c r="E229" s="635" t="s">
        <v>1494</v>
      </c>
      <c r="F229" s="465" t="s">
        <v>1845</v>
      </c>
      <c r="G229" s="466">
        <v>0</v>
      </c>
      <c r="H229" s="466">
        <v>0.176</v>
      </c>
      <c r="I229" s="467">
        <v>0.176</v>
      </c>
      <c r="J229" s="468">
        <v>0</v>
      </c>
    </row>
    <row r="230" spans="1:10" ht="12.75" outlineLevel="2">
      <c r="A230" s="645">
        <v>1142338010</v>
      </c>
      <c r="B230" s="635" t="s">
        <v>285</v>
      </c>
      <c r="C230" s="635" t="s">
        <v>1798</v>
      </c>
      <c r="D230" s="635"/>
      <c r="E230" s="635" t="s">
        <v>1494</v>
      </c>
      <c r="F230" s="465" t="s">
        <v>96</v>
      </c>
      <c r="G230" s="466">
        <v>0</v>
      </c>
      <c r="H230" s="466">
        <v>14.67</v>
      </c>
      <c r="I230" s="467">
        <v>14.662</v>
      </c>
      <c r="J230" s="468">
        <v>0.008</v>
      </c>
    </row>
    <row r="231" spans="1:10" ht="12.75" outlineLevel="2">
      <c r="A231" s="645">
        <v>1142338011</v>
      </c>
      <c r="B231" s="635" t="s">
        <v>285</v>
      </c>
      <c r="C231" s="635" t="s">
        <v>1788</v>
      </c>
      <c r="D231" s="635"/>
      <c r="E231" s="635" t="s">
        <v>1494</v>
      </c>
      <c r="F231" s="465" t="s">
        <v>96</v>
      </c>
      <c r="G231" s="466">
        <v>0</v>
      </c>
      <c r="H231" s="466">
        <v>14.843</v>
      </c>
      <c r="I231" s="467">
        <v>14.843</v>
      </c>
      <c r="J231" s="468">
        <v>0</v>
      </c>
    </row>
    <row r="232" spans="1:10" ht="12.75" outlineLevel="2">
      <c r="A232" s="645">
        <v>1142338012</v>
      </c>
      <c r="B232" s="635" t="s">
        <v>285</v>
      </c>
      <c r="C232" s="635" t="s">
        <v>1784</v>
      </c>
      <c r="D232" s="635"/>
      <c r="E232" s="635" t="s">
        <v>1494</v>
      </c>
      <c r="F232" s="465" t="s">
        <v>1845</v>
      </c>
      <c r="G232" s="466">
        <v>0</v>
      </c>
      <c r="H232" s="466">
        <v>0.215</v>
      </c>
      <c r="I232" s="467">
        <v>0.215</v>
      </c>
      <c r="J232" s="468">
        <v>0</v>
      </c>
    </row>
    <row r="233" spans="1:10" ht="12.75" outlineLevel="2">
      <c r="A233" s="645">
        <v>1142338012</v>
      </c>
      <c r="B233" s="635" t="s">
        <v>285</v>
      </c>
      <c r="C233" s="635" t="s">
        <v>1784</v>
      </c>
      <c r="D233" s="635"/>
      <c r="E233" s="635" t="s">
        <v>1494</v>
      </c>
      <c r="F233" s="465" t="s">
        <v>96</v>
      </c>
      <c r="G233" s="466">
        <v>0</v>
      </c>
      <c r="H233" s="466">
        <v>24.333</v>
      </c>
      <c r="I233" s="467">
        <v>24.332</v>
      </c>
      <c r="J233" s="468">
        <v>0.001</v>
      </c>
    </row>
    <row r="234" spans="1:10" ht="12.75" outlineLevel="2">
      <c r="A234" s="645">
        <v>1142338013</v>
      </c>
      <c r="B234" s="635" t="s">
        <v>285</v>
      </c>
      <c r="C234" s="635" t="s">
        <v>1796</v>
      </c>
      <c r="D234" s="635"/>
      <c r="E234" s="635" t="s">
        <v>1494</v>
      </c>
      <c r="F234" s="465" t="s">
        <v>1845</v>
      </c>
      <c r="G234" s="466">
        <v>0</v>
      </c>
      <c r="H234" s="466">
        <v>0.051</v>
      </c>
      <c r="I234" s="467">
        <v>0.051</v>
      </c>
      <c r="J234" s="468">
        <v>0</v>
      </c>
    </row>
    <row r="235" spans="1:10" ht="12.75" outlineLevel="2">
      <c r="A235" s="645">
        <v>1142338013</v>
      </c>
      <c r="B235" s="635" t="s">
        <v>285</v>
      </c>
      <c r="C235" s="635" t="s">
        <v>1796</v>
      </c>
      <c r="D235" s="635"/>
      <c r="E235" s="635" t="s">
        <v>1494</v>
      </c>
      <c r="F235" s="465" t="s">
        <v>96</v>
      </c>
      <c r="G235" s="466">
        <v>0</v>
      </c>
      <c r="H235" s="466">
        <v>14.654</v>
      </c>
      <c r="I235" s="467">
        <v>14.653</v>
      </c>
      <c r="J235" s="468">
        <v>0.001</v>
      </c>
    </row>
    <row r="236" spans="1:10" ht="12.75" outlineLevel="2">
      <c r="A236" s="645">
        <v>1142338014</v>
      </c>
      <c r="B236" s="635" t="s">
        <v>285</v>
      </c>
      <c r="C236" s="635" t="s">
        <v>1794</v>
      </c>
      <c r="D236" s="635"/>
      <c r="E236" s="635" t="s">
        <v>1494</v>
      </c>
      <c r="F236" s="465" t="s">
        <v>96</v>
      </c>
      <c r="G236" s="466">
        <v>0</v>
      </c>
      <c r="H236" s="466">
        <v>9.897</v>
      </c>
      <c r="I236" s="467">
        <v>9.896</v>
      </c>
      <c r="J236" s="468">
        <v>0.001</v>
      </c>
    </row>
    <row r="237" spans="1:10" ht="13.5" outlineLevel="2" thickBot="1">
      <c r="A237" s="646">
        <v>1142338015</v>
      </c>
      <c r="B237" s="636" t="s">
        <v>285</v>
      </c>
      <c r="C237" s="636" t="s">
        <v>1806</v>
      </c>
      <c r="D237" s="636"/>
      <c r="E237" s="636" t="s">
        <v>1494</v>
      </c>
      <c r="F237" s="469" t="s">
        <v>96</v>
      </c>
      <c r="G237" s="470">
        <v>0</v>
      </c>
      <c r="H237" s="470">
        <v>9.897</v>
      </c>
      <c r="I237" s="471">
        <v>9.896</v>
      </c>
      <c r="J237" s="472">
        <v>0.001</v>
      </c>
    </row>
    <row r="238" spans="1:10" s="149" customFormat="1" ht="13.5" outlineLevel="1" thickBot="1">
      <c r="A238" s="648" t="s">
        <v>286</v>
      </c>
      <c r="B238" s="637"/>
      <c r="C238" s="637"/>
      <c r="D238" s="637"/>
      <c r="E238" s="637"/>
      <c r="F238" s="458"/>
      <c r="G238" s="459">
        <f>SUBTOTAL(9,G216:G237)</f>
        <v>200</v>
      </c>
      <c r="H238" s="459">
        <f>SUBTOTAL(9,H216:H237)</f>
        <v>197.611</v>
      </c>
      <c r="I238" s="473">
        <f>SUBTOTAL(9,I216:I237)</f>
        <v>197.58100000000002</v>
      </c>
      <c r="J238" s="474">
        <f>SUBTOTAL(9,J216:J237)</f>
        <v>0.030000000000000006</v>
      </c>
    </row>
    <row r="239" spans="1:10" ht="12.75" outlineLevel="2">
      <c r="A239" s="644">
        <v>1144118001</v>
      </c>
      <c r="B239" s="634" t="s">
        <v>287</v>
      </c>
      <c r="C239" s="634" t="s">
        <v>1774</v>
      </c>
      <c r="D239" s="634"/>
      <c r="E239" s="634" t="s">
        <v>1494</v>
      </c>
      <c r="F239" s="461" t="s">
        <v>1845</v>
      </c>
      <c r="G239" s="462">
        <v>0.5</v>
      </c>
      <c r="H239" s="462">
        <v>0.7</v>
      </c>
      <c r="I239" s="463">
        <v>0.58</v>
      </c>
      <c r="J239" s="464">
        <v>0.12</v>
      </c>
    </row>
    <row r="240" spans="1:10" ht="12.75" outlineLevel="2">
      <c r="A240" s="645">
        <v>1144118002</v>
      </c>
      <c r="B240" s="635" t="s">
        <v>288</v>
      </c>
      <c r="C240" s="635" t="s">
        <v>1774</v>
      </c>
      <c r="D240" s="635"/>
      <c r="E240" s="635" t="s">
        <v>1533</v>
      </c>
      <c r="F240" s="465" t="s">
        <v>1845</v>
      </c>
      <c r="G240" s="466">
        <v>1.6</v>
      </c>
      <c r="H240" s="466">
        <v>0</v>
      </c>
      <c r="I240" s="467">
        <v>0</v>
      </c>
      <c r="J240" s="468">
        <v>0</v>
      </c>
    </row>
    <row r="241" spans="1:10" ht="12.75" outlineLevel="2">
      <c r="A241" s="645">
        <v>1144118003</v>
      </c>
      <c r="B241" s="635" t="s">
        <v>289</v>
      </c>
      <c r="C241" s="635" t="s">
        <v>1774</v>
      </c>
      <c r="D241" s="635"/>
      <c r="E241" s="635" t="s">
        <v>1533</v>
      </c>
      <c r="F241" s="465" t="s">
        <v>1845</v>
      </c>
      <c r="G241" s="466">
        <v>0.5</v>
      </c>
      <c r="H241" s="466">
        <v>0</v>
      </c>
      <c r="I241" s="467">
        <v>0</v>
      </c>
      <c r="J241" s="468">
        <v>0</v>
      </c>
    </row>
    <row r="242" spans="1:10" ht="12.75" outlineLevel="2">
      <c r="A242" s="645">
        <v>1144118004</v>
      </c>
      <c r="B242" s="635" t="s">
        <v>290</v>
      </c>
      <c r="C242" s="635" t="s">
        <v>1774</v>
      </c>
      <c r="D242" s="635"/>
      <c r="E242" s="635" t="s">
        <v>1494</v>
      </c>
      <c r="F242" s="465" t="s">
        <v>96</v>
      </c>
      <c r="G242" s="466">
        <v>1.5</v>
      </c>
      <c r="H242" s="466">
        <v>1.2</v>
      </c>
      <c r="I242" s="467">
        <v>1.184</v>
      </c>
      <c r="J242" s="468">
        <v>0.016</v>
      </c>
    </row>
    <row r="243" spans="1:10" ht="12.75" outlineLevel="2">
      <c r="A243" s="645">
        <v>1144118005</v>
      </c>
      <c r="B243" s="635" t="s">
        <v>291</v>
      </c>
      <c r="C243" s="635" t="s">
        <v>1774</v>
      </c>
      <c r="D243" s="635"/>
      <c r="E243" s="635" t="s">
        <v>1494</v>
      </c>
      <c r="F243" s="465" t="s">
        <v>96</v>
      </c>
      <c r="G243" s="466">
        <v>0.9</v>
      </c>
      <c r="H243" s="466">
        <v>0.6</v>
      </c>
      <c r="I243" s="467">
        <v>0.595</v>
      </c>
      <c r="J243" s="468">
        <v>0.005</v>
      </c>
    </row>
    <row r="244" spans="1:10" ht="12.75" outlineLevel="2">
      <c r="A244" s="645">
        <v>1144118006</v>
      </c>
      <c r="B244" s="635" t="s">
        <v>292</v>
      </c>
      <c r="C244" s="635" t="s">
        <v>1774</v>
      </c>
      <c r="D244" s="635"/>
      <c r="E244" s="635" t="s">
        <v>1494</v>
      </c>
      <c r="F244" s="465" t="s">
        <v>1845</v>
      </c>
      <c r="G244" s="466">
        <v>0</v>
      </c>
      <c r="H244" s="466">
        <v>0.6</v>
      </c>
      <c r="I244" s="467">
        <v>0.588</v>
      </c>
      <c r="J244" s="468">
        <v>0.012</v>
      </c>
    </row>
    <row r="245" spans="1:10" ht="12.75" outlineLevel="2">
      <c r="A245" s="645">
        <v>1144128001</v>
      </c>
      <c r="B245" s="635" t="s">
        <v>293</v>
      </c>
      <c r="C245" s="635" t="s">
        <v>1774</v>
      </c>
      <c r="D245" s="635"/>
      <c r="E245" s="635" t="s">
        <v>1494</v>
      </c>
      <c r="F245" s="465" t="s">
        <v>1845</v>
      </c>
      <c r="G245" s="466">
        <v>7.5</v>
      </c>
      <c r="H245" s="466">
        <v>10.035</v>
      </c>
      <c r="I245" s="467">
        <v>7.231</v>
      </c>
      <c r="J245" s="468">
        <v>2.804</v>
      </c>
    </row>
    <row r="246" spans="1:10" ht="12.75" outlineLevel="2">
      <c r="A246" s="645">
        <v>1144128001</v>
      </c>
      <c r="B246" s="635" t="s">
        <v>293</v>
      </c>
      <c r="C246" s="635" t="s">
        <v>1774</v>
      </c>
      <c r="D246" s="635"/>
      <c r="E246" s="635" t="s">
        <v>1494</v>
      </c>
      <c r="F246" s="465" t="s">
        <v>473</v>
      </c>
      <c r="G246" s="466">
        <v>0</v>
      </c>
      <c r="H246" s="466">
        <v>27.396</v>
      </c>
      <c r="I246" s="467">
        <v>21.07</v>
      </c>
      <c r="J246" s="468">
        <v>6.326</v>
      </c>
    </row>
    <row r="247" spans="1:10" ht="12.75" outlineLevel="2">
      <c r="A247" s="645">
        <v>1144128001</v>
      </c>
      <c r="B247" s="635" t="s">
        <v>293</v>
      </c>
      <c r="C247" s="635" t="s">
        <v>1774</v>
      </c>
      <c r="D247" s="635"/>
      <c r="E247" s="635" t="s">
        <v>1494</v>
      </c>
      <c r="F247" s="465" t="s">
        <v>96</v>
      </c>
      <c r="G247" s="466">
        <v>0</v>
      </c>
      <c r="H247" s="466">
        <v>4.68</v>
      </c>
      <c r="I247" s="467">
        <v>0.209</v>
      </c>
      <c r="J247" s="468">
        <v>4.471</v>
      </c>
    </row>
    <row r="248" spans="1:10" ht="12.75" outlineLevel="2">
      <c r="A248" s="645">
        <v>1144128001</v>
      </c>
      <c r="B248" s="635" t="s">
        <v>293</v>
      </c>
      <c r="C248" s="635" t="s">
        <v>1774</v>
      </c>
      <c r="D248" s="635"/>
      <c r="E248" s="635" t="s">
        <v>1494</v>
      </c>
      <c r="F248" s="465" t="s">
        <v>118</v>
      </c>
      <c r="G248" s="466">
        <v>42.5</v>
      </c>
      <c r="H248" s="466">
        <v>55.989</v>
      </c>
      <c r="I248" s="467">
        <v>53.623</v>
      </c>
      <c r="J248" s="468">
        <v>2.366</v>
      </c>
    </row>
    <row r="249" spans="1:10" ht="12.75" outlineLevel="2">
      <c r="A249" s="645">
        <v>1144128002</v>
      </c>
      <c r="B249" s="635" t="s">
        <v>294</v>
      </c>
      <c r="C249" s="635" t="s">
        <v>1774</v>
      </c>
      <c r="D249" s="635"/>
      <c r="E249" s="635" t="s">
        <v>1494</v>
      </c>
      <c r="F249" s="465" t="s">
        <v>1845</v>
      </c>
      <c r="G249" s="466">
        <v>0</v>
      </c>
      <c r="H249" s="466">
        <v>7.83</v>
      </c>
      <c r="I249" s="467">
        <v>7.484</v>
      </c>
      <c r="J249" s="468">
        <v>0.346</v>
      </c>
    </row>
    <row r="250" spans="1:10" ht="12.75" outlineLevel="2">
      <c r="A250" s="645">
        <v>1144128003</v>
      </c>
      <c r="B250" s="635" t="s">
        <v>295</v>
      </c>
      <c r="C250" s="635" t="s">
        <v>1774</v>
      </c>
      <c r="D250" s="635"/>
      <c r="E250" s="635" t="s">
        <v>1494</v>
      </c>
      <c r="F250" s="465" t="s">
        <v>1845</v>
      </c>
      <c r="G250" s="466">
        <v>0</v>
      </c>
      <c r="H250" s="466">
        <v>17.255</v>
      </c>
      <c r="I250" s="467">
        <v>16.083</v>
      </c>
      <c r="J250" s="468">
        <v>1.172</v>
      </c>
    </row>
    <row r="251" spans="1:10" ht="12.75" outlineLevel="2">
      <c r="A251" s="645">
        <v>1144128004</v>
      </c>
      <c r="B251" s="635" t="s">
        <v>296</v>
      </c>
      <c r="C251" s="635" t="s">
        <v>1774</v>
      </c>
      <c r="D251" s="635"/>
      <c r="E251" s="635" t="s">
        <v>1494</v>
      </c>
      <c r="F251" s="465" t="s">
        <v>1845</v>
      </c>
      <c r="G251" s="466">
        <v>0</v>
      </c>
      <c r="H251" s="466">
        <v>0.169</v>
      </c>
      <c r="I251" s="467">
        <v>0.168</v>
      </c>
      <c r="J251" s="468">
        <v>0.001</v>
      </c>
    </row>
    <row r="252" spans="1:10" ht="12.75" outlineLevel="2">
      <c r="A252" s="645">
        <v>1144128004</v>
      </c>
      <c r="B252" s="635" t="s">
        <v>296</v>
      </c>
      <c r="C252" s="635" t="s">
        <v>1774</v>
      </c>
      <c r="D252" s="635"/>
      <c r="E252" s="635" t="s">
        <v>1494</v>
      </c>
      <c r="F252" s="465" t="s">
        <v>96</v>
      </c>
      <c r="G252" s="466">
        <v>0</v>
      </c>
      <c r="H252" s="466">
        <v>9.803</v>
      </c>
      <c r="I252" s="467">
        <v>9.803</v>
      </c>
      <c r="J252" s="468">
        <v>0</v>
      </c>
    </row>
    <row r="253" spans="1:10" ht="12.75" outlineLevel="2">
      <c r="A253" s="645">
        <v>1144138001</v>
      </c>
      <c r="B253" s="635" t="s">
        <v>297</v>
      </c>
      <c r="C253" s="635" t="s">
        <v>1774</v>
      </c>
      <c r="D253" s="635"/>
      <c r="E253" s="635" t="s">
        <v>1494</v>
      </c>
      <c r="F253" s="465" t="s">
        <v>1845</v>
      </c>
      <c r="G253" s="466">
        <v>22.5</v>
      </c>
      <c r="H253" s="466">
        <v>16.827</v>
      </c>
      <c r="I253" s="467">
        <v>14.058</v>
      </c>
      <c r="J253" s="468">
        <v>2.769</v>
      </c>
    </row>
    <row r="254" spans="1:10" ht="12.75" outlineLevel="2">
      <c r="A254" s="645">
        <v>1144138001</v>
      </c>
      <c r="B254" s="635" t="s">
        <v>297</v>
      </c>
      <c r="C254" s="635" t="s">
        <v>1774</v>
      </c>
      <c r="D254" s="635"/>
      <c r="E254" s="635" t="s">
        <v>1494</v>
      </c>
      <c r="F254" s="465" t="s">
        <v>473</v>
      </c>
      <c r="G254" s="466">
        <v>0</v>
      </c>
      <c r="H254" s="466">
        <v>24.541</v>
      </c>
      <c r="I254" s="467">
        <v>19.475</v>
      </c>
      <c r="J254" s="468">
        <v>5.066</v>
      </c>
    </row>
    <row r="255" spans="1:10" ht="12.75" outlineLevel="2">
      <c r="A255" s="645">
        <v>1144138001</v>
      </c>
      <c r="B255" s="635" t="s">
        <v>297</v>
      </c>
      <c r="C255" s="635" t="s">
        <v>1774</v>
      </c>
      <c r="D255" s="635"/>
      <c r="E255" s="635" t="s">
        <v>1494</v>
      </c>
      <c r="F255" s="465" t="s">
        <v>96</v>
      </c>
      <c r="G255" s="466">
        <v>0</v>
      </c>
      <c r="H255" s="466">
        <v>5.673</v>
      </c>
      <c r="I255" s="467">
        <v>4.013</v>
      </c>
      <c r="J255" s="468">
        <v>1.66</v>
      </c>
    </row>
    <row r="256" spans="1:10" ht="12.75" outlineLevel="2">
      <c r="A256" s="645">
        <v>1144138001</v>
      </c>
      <c r="B256" s="635" t="s">
        <v>297</v>
      </c>
      <c r="C256" s="635" t="s">
        <v>1774</v>
      </c>
      <c r="D256" s="635"/>
      <c r="E256" s="635" t="s">
        <v>1494</v>
      </c>
      <c r="F256" s="465" t="s">
        <v>118</v>
      </c>
      <c r="G256" s="466">
        <v>127.5</v>
      </c>
      <c r="H256" s="466">
        <v>102.959</v>
      </c>
      <c r="I256" s="467">
        <v>81.518</v>
      </c>
      <c r="J256" s="468">
        <v>21.441</v>
      </c>
    </row>
    <row r="257" spans="1:10" ht="12.75" outlineLevel="2">
      <c r="A257" s="645">
        <v>1144138002</v>
      </c>
      <c r="B257" s="635" t="s">
        <v>298</v>
      </c>
      <c r="C257" s="635" t="s">
        <v>1774</v>
      </c>
      <c r="D257" s="635"/>
      <c r="E257" s="635" t="s">
        <v>1533</v>
      </c>
      <c r="F257" s="465" t="s">
        <v>1845</v>
      </c>
      <c r="G257" s="466">
        <v>0.287</v>
      </c>
      <c r="H257" s="466">
        <v>0</v>
      </c>
      <c r="I257" s="467">
        <v>0</v>
      </c>
      <c r="J257" s="468">
        <v>0</v>
      </c>
    </row>
    <row r="258" spans="1:10" ht="12.75" outlineLevel="2">
      <c r="A258" s="645">
        <v>1144138003</v>
      </c>
      <c r="B258" s="635" t="s">
        <v>299</v>
      </c>
      <c r="C258" s="635" t="s">
        <v>1774</v>
      </c>
      <c r="D258" s="635"/>
      <c r="E258" s="635" t="s">
        <v>1533</v>
      </c>
      <c r="F258" s="465" t="s">
        <v>1845</v>
      </c>
      <c r="G258" s="466">
        <v>15</v>
      </c>
      <c r="H258" s="466">
        <v>1.549</v>
      </c>
      <c r="I258" s="467">
        <v>0</v>
      </c>
      <c r="J258" s="468">
        <v>1.549</v>
      </c>
    </row>
    <row r="259" spans="1:10" ht="12.75" outlineLevel="2">
      <c r="A259" s="645">
        <v>1144138004</v>
      </c>
      <c r="B259" s="635" t="s">
        <v>300</v>
      </c>
      <c r="C259" s="635" t="s">
        <v>1774</v>
      </c>
      <c r="D259" s="635"/>
      <c r="E259" s="635" t="s">
        <v>1533</v>
      </c>
      <c r="F259" s="465" t="s">
        <v>1845</v>
      </c>
      <c r="G259" s="466">
        <v>15</v>
      </c>
      <c r="H259" s="466">
        <v>0</v>
      </c>
      <c r="I259" s="467">
        <v>0</v>
      </c>
      <c r="J259" s="468">
        <v>0</v>
      </c>
    </row>
    <row r="260" spans="1:10" ht="12.75" outlineLevel="2">
      <c r="A260" s="645">
        <v>1144138005</v>
      </c>
      <c r="B260" s="635" t="s">
        <v>301</v>
      </c>
      <c r="C260" s="635" t="s">
        <v>1774</v>
      </c>
      <c r="D260" s="635"/>
      <c r="E260" s="635" t="s">
        <v>1533</v>
      </c>
      <c r="F260" s="465" t="s">
        <v>1845</v>
      </c>
      <c r="G260" s="466">
        <v>10</v>
      </c>
      <c r="H260" s="466">
        <v>0</v>
      </c>
      <c r="I260" s="467">
        <v>0</v>
      </c>
      <c r="J260" s="468">
        <v>0</v>
      </c>
    </row>
    <row r="261" spans="1:10" ht="12.75" outlineLevel="2">
      <c r="A261" s="645">
        <v>1144138006</v>
      </c>
      <c r="B261" s="635" t="s">
        <v>302</v>
      </c>
      <c r="C261" s="635" t="s">
        <v>1774</v>
      </c>
      <c r="D261" s="635"/>
      <c r="E261" s="635" t="s">
        <v>1494</v>
      </c>
      <c r="F261" s="465" t="s">
        <v>1845</v>
      </c>
      <c r="G261" s="466">
        <v>0</v>
      </c>
      <c r="H261" s="466">
        <v>13.846</v>
      </c>
      <c r="I261" s="467">
        <v>13.695</v>
      </c>
      <c r="J261" s="468">
        <v>0.151</v>
      </c>
    </row>
    <row r="262" spans="1:10" ht="12.75" outlineLevel="2">
      <c r="A262" s="645">
        <v>1144138008</v>
      </c>
      <c r="B262" s="635" t="s">
        <v>303</v>
      </c>
      <c r="C262" s="635" t="s">
        <v>1774</v>
      </c>
      <c r="D262" s="635"/>
      <c r="E262" s="635" t="s">
        <v>1494</v>
      </c>
      <c r="F262" s="465" t="s">
        <v>1845</v>
      </c>
      <c r="G262" s="466">
        <v>0</v>
      </c>
      <c r="H262" s="466">
        <v>2.863</v>
      </c>
      <c r="I262" s="467">
        <v>2.022</v>
      </c>
      <c r="J262" s="468">
        <v>0.841</v>
      </c>
    </row>
    <row r="263" spans="1:10" ht="12.75" outlineLevel="2">
      <c r="A263" s="645">
        <v>1144138008</v>
      </c>
      <c r="B263" s="635" t="s">
        <v>303</v>
      </c>
      <c r="C263" s="635" t="s">
        <v>1774</v>
      </c>
      <c r="D263" s="635"/>
      <c r="E263" s="635" t="s">
        <v>1494</v>
      </c>
      <c r="F263" s="465" t="s">
        <v>96</v>
      </c>
      <c r="G263" s="466">
        <v>0</v>
      </c>
      <c r="H263" s="466">
        <v>3.643</v>
      </c>
      <c r="I263" s="467">
        <v>3.642</v>
      </c>
      <c r="J263" s="468">
        <v>0.001</v>
      </c>
    </row>
    <row r="264" spans="1:10" ht="12.75" outlineLevel="2">
      <c r="A264" s="645">
        <v>1144148001</v>
      </c>
      <c r="B264" s="635" t="s">
        <v>467</v>
      </c>
      <c r="C264" s="635" t="s">
        <v>1774</v>
      </c>
      <c r="D264" s="635"/>
      <c r="E264" s="635" t="s">
        <v>1533</v>
      </c>
      <c r="F264" s="465" t="s">
        <v>96</v>
      </c>
      <c r="G264" s="466">
        <v>3</v>
      </c>
      <c r="H264" s="466">
        <v>0</v>
      </c>
      <c r="I264" s="467">
        <v>0</v>
      </c>
      <c r="J264" s="468">
        <v>0</v>
      </c>
    </row>
    <row r="265" spans="1:10" ht="12.75" outlineLevel="2">
      <c r="A265" s="645">
        <v>1144148001</v>
      </c>
      <c r="B265" s="635" t="s">
        <v>467</v>
      </c>
      <c r="C265" s="635" t="s">
        <v>1774</v>
      </c>
      <c r="D265" s="635"/>
      <c r="E265" s="635" t="s">
        <v>1533</v>
      </c>
      <c r="F265" s="465" t="s">
        <v>118</v>
      </c>
      <c r="G265" s="466">
        <v>17</v>
      </c>
      <c r="H265" s="466">
        <v>0</v>
      </c>
      <c r="I265" s="467">
        <v>0</v>
      </c>
      <c r="J265" s="468">
        <v>0</v>
      </c>
    </row>
    <row r="266" spans="1:10" ht="12.75" outlineLevel="2">
      <c r="A266" s="645">
        <v>1144148002</v>
      </c>
      <c r="B266" s="635" t="s">
        <v>468</v>
      </c>
      <c r="C266" s="635" t="s">
        <v>1774</v>
      </c>
      <c r="D266" s="635"/>
      <c r="E266" s="635" t="s">
        <v>1533</v>
      </c>
      <c r="F266" s="465" t="s">
        <v>96</v>
      </c>
      <c r="G266" s="466">
        <v>3</v>
      </c>
      <c r="H266" s="466">
        <v>0</v>
      </c>
      <c r="I266" s="467">
        <v>0</v>
      </c>
      <c r="J266" s="468">
        <v>0</v>
      </c>
    </row>
    <row r="267" spans="1:10" ht="12.75" outlineLevel="2">
      <c r="A267" s="645">
        <v>1144148002</v>
      </c>
      <c r="B267" s="635" t="s">
        <v>468</v>
      </c>
      <c r="C267" s="635" t="s">
        <v>1774</v>
      </c>
      <c r="D267" s="635"/>
      <c r="E267" s="635" t="s">
        <v>1533</v>
      </c>
      <c r="F267" s="465" t="s">
        <v>118</v>
      </c>
      <c r="G267" s="466">
        <v>17</v>
      </c>
      <c r="H267" s="466">
        <v>0</v>
      </c>
      <c r="I267" s="467">
        <v>0</v>
      </c>
      <c r="J267" s="468">
        <v>0</v>
      </c>
    </row>
    <row r="268" spans="1:10" ht="12.75" outlineLevel="2">
      <c r="A268" s="645">
        <v>1144148010</v>
      </c>
      <c r="B268" s="635" t="s">
        <v>304</v>
      </c>
      <c r="C268" s="635" t="s">
        <v>1774</v>
      </c>
      <c r="D268" s="635"/>
      <c r="E268" s="635" t="s">
        <v>1494</v>
      </c>
      <c r="F268" s="465" t="s">
        <v>1845</v>
      </c>
      <c r="G268" s="466">
        <v>29.5</v>
      </c>
      <c r="H268" s="466">
        <v>11.811</v>
      </c>
      <c r="I268" s="467">
        <v>10.829</v>
      </c>
      <c r="J268" s="468">
        <v>0.982</v>
      </c>
    </row>
    <row r="269" spans="1:10" ht="12.75" outlineLevel="2">
      <c r="A269" s="645">
        <v>1144148011</v>
      </c>
      <c r="B269" s="635" t="s">
        <v>305</v>
      </c>
      <c r="C269" s="635" t="s">
        <v>1774</v>
      </c>
      <c r="D269" s="635"/>
      <c r="E269" s="635" t="s">
        <v>1533</v>
      </c>
      <c r="F269" s="465" t="s">
        <v>1845</v>
      </c>
      <c r="G269" s="466">
        <v>32</v>
      </c>
      <c r="H269" s="466">
        <v>0</v>
      </c>
      <c r="I269" s="467">
        <v>0</v>
      </c>
      <c r="J269" s="468">
        <v>0</v>
      </c>
    </row>
    <row r="270" spans="1:10" ht="12.75" outlineLevel="2">
      <c r="A270" s="645">
        <v>1144148012</v>
      </c>
      <c r="B270" s="635" t="s">
        <v>306</v>
      </c>
      <c r="C270" s="635" t="s">
        <v>1774</v>
      </c>
      <c r="D270" s="635"/>
      <c r="E270" s="635" t="s">
        <v>1533</v>
      </c>
      <c r="F270" s="465" t="s">
        <v>1845</v>
      </c>
      <c r="G270" s="466">
        <v>14</v>
      </c>
      <c r="H270" s="466">
        <v>0</v>
      </c>
      <c r="I270" s="467">
        <v>0</v>
      </c>
      <c r="J270" s="468">
        <v>0</v>
      </c>
    </row>
    <row r="271" spans="1:10" ht="12.75" outlineLevel="2">
      <c r="A271" s="645">
        <v>1144148013</v>
      </c>
      <c r="B271" s="635" t="s">
        <v>307</v>
      </c>
      <c r="C271" s="635" t="s">
        <v>1774</v>
      </c>
      <c r="D271" s="635"/>
      <c r="E271" s="635" t="s">
        <v>1533</v>
      </c>
      <c r="F271" s="465" t="s">
        <v>1845</v>
      </c>
      <c r="G271" s="466">
        <v>6</v>
      </c>
      <c r="H271" s="466">
        <v>0</v>
      </c>
      <c r="I271" s="467">
        <v>0</v>
      </c>
      <c r="J271" s="468">
        <v>0</v>
      </c>
    </row>
    <row r="272" spans="1:10" ht="12.75" outlineLevel="2">
      <c r="A272" s="645">
        <v>1144148014</v>
      </c>
      <c r="B272" s="635" t="s">
        <v>308</v>
      </c>
      <c r="C272" s="635" t="s">
        <v>1774</v>
      </c>
      <c r="D272" s="635"/>
      <c r="E272" s="635" t="s">
        <v>1533</v>
      </c>
      <c r="F272" s="465" t="s">
        <v>1845</v>
      </c>
      <c r="G272" s="466">
        <v>4</v>
      </c>
      <c r="H272" s="466">
        <v>0</v>
      </c>
      <c r="I272" s="467">
        <v>0</v>
      </c>
      <c r="J272" s="468">
        <v>0</v>
      </c>
    </row>
    <row r="273" spans="1:10" ht="12.75" outlineLevel="2">
      <c r="A273" s="645">
        <v>1144148015</v>
      </c>
      <c r="B273" s="635" t="s">
        <v>309</v>
      </c>
      <c r="C273" s="635" t="s">
        <v>1774</v>
      </c>
      <c r="D273" s="635"/>
      <c r="E273" s="635" t="s">
        <v>1494</v>
      </c>
      <c r="F273" s="465" t="s">
        <v>1845</v>
      </c>
      <c r="G273" s="466">
        <v>0</v>
      </c>
      <c r="H273" s="466">
        <v>70.058</v>
      </c>
      <c r="I273" s="467">
        <v>68.103</v>
      </c>
      <c r="J273" s="468">
        <v>1.955</v>
      </c>
    </row>
    <row r="274" spans="1:10" ht="12.75" outlineLevel="2">
      <c r="A274" s="645">
        <v>1144158001</v>
      </c>
      <c r="B274" s="635" t="s">
        <v>469</v>
      </c>
      <c r="C274" s="635" t="s">
        <v>1774</v>
      </c>
      <c r="D274" s="635"/>
      <c r="E274" s="635" t="s">
        <v>1533</v>
      </c>
      <c r="F274" s="465" t="s">
        <v>1845</v>
      </c>
      <c r="G274" s="466">
        <v>22.5</v>
      </c>
      <c r="H274" s="466">
        <v>0</v>
      </c>
      <c r="I274" s="467">
        <v>0</v>
      </c>
      <c r="J274" s="468">
        <v>0</v>
      </c>
    </row>
    <row r="275" spans="1:10" ht="12.75" outlineLevel="2">
      <c r="A275" s="645">
        <v>1144158001</v>
      </c>
      <c r="B275" s="635" t="s">
        <v>469</v>
      </c>
      <c r="C275" s="635" t="s">
        <v>1774</v>
      </c>
      <c r="D275" s="635"/>
      <c r="E275" s="635" t="s">
        <v>1533</v>
      </c>
      <c r="F275" s="465" t="s">
        <v>118</v>
      </c>
      <c r="G275" s="466">
        <v>127.5</v>
      </c>
      <c r="H275" s="466">
        <v>0</v>
      </c>
      <c r="I275" s="467">
        <v>0</v>
      </c>
      <c r="J275" s="468">
        <v>0</v>
      </c>
    </row>
    <row r="276" spans="1:10" ht="12.75" outlineLevel="2">
      <c r="A276" s="645">
        <v>1144168005</v>
      </c>
      <c r="B276" s="635" t="s">
        <v>310</v>
      </c>
      <c r="C276" s="635" t="s">
        <v>1774</v>
      </c>
      <c r="D276" s="635"/>
      <c r="E276" s="635" t="s">
        <v>1494</v>
      </c>
      <c r="F276" s="465" t="s">
        <v>1845</v>
      </c>
      <c r="G276" s="466">
        <v>5</v>
      </c>
      <c r="H276" s="466">
        <v>3.65</v>
      </c>
      <c r="I276" s="467">
        <v>0</v>
      </c>
      <c r="J276" s="468">
        <v>3.65</v>
      </c>
    </row>
    <row r="277" spans="1:10" ht="12.75" outlineLevel="2">
      <c r="A277" s="645">
        <v>1144168006</v>
      </c>
      <c r="B277" s="635" t="s">
        <v>311</v>
      </c>
      <c r="C277" s="635" t="s">
        <v>1774</v>
      </c>
      <c r="D277" s="635"/>
      <c r="E277" s="635" t="s">
        <v>1494</v>
      </c>
      <c r="F277" s="465" t="s">
        <v>1845</v>
      </c>
      <c r="G277" s="466">
        <v>5</v>
      </c>
      <c r="H277" s="466">
        <v>5</v>
      </c>
      <c r="I277" s="467">
        <v>5</v>
      </c>
      <c r="J277" s="468">
        <v>0</v>
      </c>
    </row>
    <row r="278" spans="1:10" ht="12.75" outlineLevel="2">
      <c r="A278" s="645">
        <v>1144168007</v>
      </c>
      <c r="B278" s="635" t="s">
        <v>312</v>
      </c>
      <c r="C278" s="635" t="s">
        <v>1774</v>
      </c>
      <c r="D278" s="635"/>
      <c r="E278" s="635" t="s">
        <v>1494</v>
      </c>
      <c r="F278" s="465" t="s">
        <v>1845</v>
      </c>
      <c r="G278" s="466">
        <v>6</v>
      </c>
      <c r="H278" s="466">
        <v>0.695</v>
      </c>
      <c r="I278" s="467">
        <v>0.695</v>
      </c>
      <c r="J278" s="468">
        <v>0</v>
      </c>
    </row>
    <row r="279" spans="1:10" ht="12.75" outlineLevel="2">
      <c r="A279" s="645">
        <v>1144168007</v>
      </c>
      <c r="B279" s="635" t="s">
        <v>312</v>
      </c>
      <c r="C279" s="635" t="s">
        <v>1774</v>
      </c>
      <c r="D279" s="635"/>
      <c r="E279" s="635" t="s">
        <v>1494</v>
      </c>
      <c r="F279" s="465" t="s">
        <v>96</v>
      </c>
      <c r="G279" s="466">
        <v>0</v>
      </c>
      <c r="H279" s="466">
        <v>3.655</v>
      </c>
      <c r="I279" s="467">
        <v>3.65</v>
      </c>
      <c r="J279" s="468">
        <v>0.005</v>
      </c>
    </row>
    <row r="280" spans="1:10" ht="12.75" outlineLevel="2">
      <c r="A280" s="645">
        <v>1144178001</v>
      </c>
      <c r="B280" s="635" t="s">
        <v>313</v>
      </c>
      <c r="C280" s="635" t="s">
        <v>1774</v>
      </c>
      <c r="D280" s="635"/>
      <c r="E280" s="635" t="s">
        <v>1494</v>
      </c>
      <c r="F280" s="465" t="s">
        <v>1845</v>
      </c>
      <c r="G280" s="466">
        <v>130</v>
      </c>
      <c r="H280" s="466">
        <v>94.53</v>
      </c>
      <c r="I280" s="467">
        <v>72.847</v>
      </c>
      <c r="J280" s="468">
        <v>21.683</v>
      </c>
    </row>
    <row r="281" spans="1:10" ht="12.75" outlineLevel="2">
      <c r="A281" s="645">
        <v>1144178002</v>
      </c>
      <c r="B281" s="635" t="s">
        <v>470</v>
      </c>
      <c r="C281" s="635" t="s">
        <v>1774</v>
      </c>
      <c r="D281" s="635"/>
      <c r="E281" s="635" t="s">
        <v>1533</v>
      </c>
      <c r="F281" s="465" t="s">
        <v>1845</v>
      </c>
      <c r="G281" s="466">
        <v>11.1</v>
      </c>
      <c r="H281" s="466">
        <v>0</v>
      </c>
      <c r="I281" s="467">
        <v>0</v>
      </c>
      <c r="J281" s="468">
        <v>0</v>
      </c>
    </row>
    <row r="282" spans="1:10" ht="12.75" outlineLevel="2">
      <c r="A282" s="645">
        <v>1144178002</v>
      </c>
      <c r="B282" s="635" t="s">
        <v>470</v>
      </c>
      <c r="C282" s="635" t="s">
        <v>1774</v>
      </c>
      <c r="D282" s="635"/>
      <c r="E282" s="635" t="s">
        <v>1533</v>
      </c>
      <c r="F282" s="465" t="s">
        <v>96</v>
      </c>
      <c r="G282" s="466">
        <v>2.2</v>
      </c>
      <c r="H282" s="466">
        <v>0</v>
      </c>
      <c r="I282" s="467">
        <v>0</v>
      </c>
      <c r="J282" s="468">
        <v>0</v>
      </c>
    </row>
    <row r="283" spans="1:10" ht="12.75" outlineLevel="2">
      <c r="A283" s="645">
        <v>1144178002</v>
      </c>
      <c r="B283" s="635" t="s">
        <v>470</v>
      </c>
      <c r="C283" s="635" t="s">
        <v>1774</v>
      </c>
      <c r="D283" s="635"/>
      <c r="E283" s="635" t="s">
        <v>1533</v>
      </c>
      <c r="F283" s="465" t="s">
        <v>118</v>
      </c>
      <c r="G283" s="466">
        <v>18.7</v>
      </c>
      <c r="H283" s="466">
        <v>0</v>
      </c>
      <c r="I283" s="467">
        <v>0</v>
      </c>
      <c r="J283" s="468">
        <v>0</v>
      </c>
    </row>
    <row r="284" spans="1:10" ht="12.75" outlineLevel="2">
      <c r="A284" s="645">
        <v>1144178003</v>
      </c>
      <c r="B284" s="635" t="s">
        <v>471</v>
      </c>
      <c r="C284" s="635" t="s">
        <v>1774</v>
      </c>
      <c r="D284" s="635"/>
      <c r="E284" s="635" t="s">
        <v>1533</v>
      </c>
      <c r="F284" s="465" t="s">
        <v>1845</v>
      </c>
      <c r="G284" s="466">
        <v>0.5</v>
      </c>
      <c r="H284" s="466">
        <v>0</v>
      </c>
      <c r="I284" s="467">
        <v>0</v>
      </c>
      <c r="J284" s="468">
        <v>0</v>
      </c>
    </row>
    <row r="285" spans="1:10" ht="12.75" outlineLevel="2">
      <c r="A285" s="645">
        <v>1144178003</v>
      </c>
      <c r="B285" s="635" t="s">
        <v>471</v>
      </c>
      <c r="C285" s="635" t="s">
        <v>1774</v>
      </c>
      <c r="D285" s="635"/>
      <c r="E285" s="635" t="s">
        <v>1533</v>
      </c>
      <c r="F285" s="465" t="s">
        <v>118</v>
      </c>
      <c r="G285" s="466">
        <v>9.5</v>
      </c>
      <c r="H285" s="466">
        <v>0</v>
      </c>
      <c r="I285" s="467">
        <v>0</v>
      </c>
      <c r="J285" s="468">
        <v>0</v>
      </c>
    </row>
    <row r="286" spans="1:10" ht="12.75" outlineLevel="2">
      <c r="A286" s="645">
        <v>1144178006</v>
      </c>
      <c r="B286" s="635" t="s">
        <v>472</v>
      </c>
      <c r="C286" s="635" t="s">
        <v>1774</v>
      </c>
      <c r="D286" s="635"/>
      <c r="E286" s="635" t="s">
        <v>1533</v>
      </c>
      <c r="F286" s="465" t="s">
        <v>473</v>
      </c>
      <c r="G286" s="466">
        <v>0.35</v>
      </c>
      <c r="H286" s="466">
        <v>0</v>
      </c>
      <c r="I286" s="467">
        <v>0</v>
      </c>
      <c r="J286" s="468">
        <v>0</v>
      </c>
    </row>
    <row r="287" spans="1:10" ht="12.75" outlineLevel="2">
      <c r="A287" s="645">
        <v>1144178006</v>
      </c>
      <c r="B287" s="635" t="s">
        <v>472</v>
      </c>
      <c r="C287" s="635" t="s">
        <v>1774</v>
      </c>
      <c r="D287" s="635"/>
      <c r="E287" s="635" t="s">
        <v>1533</v>
      </c>
      <c r="F287" s="465" t="s">
        <v>96</v>
      </c>
      <c r="G287" s="466">
        <v>1.05</v>
      </c>
      <c r="H287" s="466">
        <v>0</v>
      </c>
      <c r="I287" s="467">
        <v>0</v>
      </c>
      <c r="J287" s="468">
        <v>0</v>
      </c>
    </row>
    <row r="288" spans="1:10" ht="12.75" outlineLevel="2">
      <c r="A288" s="645">
        <v>1144178006</v>
      </c>
      <c r="B288" s="635" t="s">
        <v>472</v>
      </c>
      <c r="C288" s="635" t="s">
        <v>1774</v>
      </c>
      <c r="D288" s="635"/>
      <c r="E288" s="635" t="s">
        <v>1533</v>
      </c>
      <c r="F288" s="465" t="s">
        <v>118</v>
      </c>
      <c r="G288" s="466">
        <v>5.6</v>
      </c>
      <c r="H288" s="466">
        <v>0</v>
      </c>
      <c r="I288" s="467">
        <v>0</v>
      </c>
      <c r="J288" s="468">
        <v>0</v>
      </c>
    </row>
    <row r="289" spans="1:10" ht="12.75" outlineLevel="2">
      <c r="A289" s="645">
        <v>1144178009</v>
      </c>
      <c r="B289" s="635" t="s">
        <v>314</v>
      </c>
      <c r="C289" s="635" t="s">
        <v>1774</v>
      </c>
      <c r="D289" s="635"/>
      <c r="E289" s="635" t="s">
        <v>1533</v>
      </c>
      <c r="F289" s="465" t="s">
        <v>1845</v>
      </c>
      <c r="G289" s="466">
        <v>2</v>
      </c>
      <c r="H289" s="466">
        <v>0</v>
      </c>
      <c r="I289" s="467">
        <v>0</v>
      </c>
      <c r="J289" s="468">
        <v>0</v>
      </c>
    </row>
    <row r="290" spans="1:10" ht="12.75" outlineLevel="2">
      <c r="A290" s="645">
        <v>1144178026</v>
      </c>
      <c r="B290" s="635" t="s">
        <v>315</v>
      </c>
      <c r="C290" s="635" t="s">
        <v>1774</v>
      </c>
      <c r="D290" s="635"/>
      <c r="E290" s="635" t="s">
        <v>1494</v>
      </c>
      <c r="F290" s="465" t="s">
        <v>1845</v>
      </c>
      <c r="G290" s="466">
        <v>0</v>
      </c>
      <c r="H290" s="466">
        <v>2.16</v>
      </c>
      <c r="I290" s="467">
        <v>2.159</v>
      </c>
      <c r="J290" s="468">
        <v>0.001</v>
      </c>
    </row>
    <row r="291" spans="1:10" ht="12.75" outlineLevel="2">
      <c r="A291" s="645">
        <v>1144178027</v>
      </c>
      <c r="B291" s="635" t="s">
        <v>316</v>
      </c>
      <c r="C291" s="635" t="s">
        <v>1774</v>
      </c>
      <c r="D291" s="635"/>
      <c r="E291" s="635" t="s">
        <v>1494</v>
      </c>
      <c r="F291" s="465" t="s">
        <v>1845</v>
      </c>
      <c r="G291" s="466">
        <v>0</v>
      </c>
      <c r="H291" s="466">
        <v>1.904</v>
      </c>
      <c r="I291" s="467">
        <v>0.592</v>
      </c>
      <c r="J291" s="468">
        <v>1.312</v>
      </c>
    </row>
    <row r="292" spans="1:10" ht="12.75" outlineLevel="2">
      <c r="A292" s="645">
        <v>1144178028</v>
      </c>
      <c r="B292" s="635" t="s">
        <v>317</v>
      </c>
      <c r="C292" s="635" t="s">
        <v>1774</v>
      </c>
      <c r="D292" s="635"/>
      <c r="E292" s="635" t="s">
        <v>1494</v>
      </c>
      <c r="F292" s="465" t="s">
        <v>1845</v>
      </c>
      <c r="G292" s="466">
        <v>0</v>
      </c>
      <c r="H292" s="466">
        <v>1.706</v>
      </c>
      <c r="I292" s="467">
        <v>1.414</v>
      </c>
      <c r="J292" s="468">
        <v>0.292</v>
      </c>
    </row>
    <row r="293" spans="1:10" ht="12.75" outlineLevel="2">
      <c r="A293" s="645">
        <v>1144178028</v>
      </c>
      <c r="B293" s="635" t="s">
        <v>317</v>
      </c>
      <c r="C293" s="635" t="s">
        <v>1774</v>
      </c>
      <c r="D293" s="635"/>
      <c r="E293" s="635" t="s">
        <v>1494</v>
      </c>
      <c r="F293" s="465" t="s">
        <v>96</v>
      </c>
      <c r="G293" s="466">
        <v>0</v>
      </c>
      <c r="H293" s="466">
        <v>22.986</v>
      </c>
      <c r="I293" s="467">
        <v>22.985</v>
      </c>
      <c r="J293" s="468">
        <v>0.001</v>
      </c>
    </row>
    <row r="294" spans="1:10" ht="12.75" outlineLevel="2">
      <c r="A294" s="645">
        <v>1144188028</v>
      </c>
      <c r="B294" s="635" t="s">
        <v>318</v>
      </c>
      <c r="C294" s="635" t="s">
        <v>1774</v>
      </c>
      <c r="D294" s="635"/>
      <c r="E294" s="635" t="s">
        <v>1533</v>
      </c>
      <c r="F294" s="465" t="s">
        <v>1845</v>
      </c>
      <c r="G294" s="466">
        <v>1.25</v>
      </c>
      <c r="H294" s="466">
        <v>0</v>
      </c>
      <c r="I294" s="467">
        <v>0</v>
      </c>
      <c r="J294" s="468">
        <v>0</v>
      </c>
    </row>
    <row r="295" spans="1:10" ht="12.75" outlineLevel="2">
      <c r="A295" s="645">
        <v>1144188028</v>
      </c>
      <c r="B295" s="635" t="s">
        <v>318</v>
      </c>
      <c r="C295" s="635" t="s">
        <v>1774</v>
      </c>
      <c r="D295" s="635"/>
      <c r="E295" s="635" t="s">
        <v>1533</v>
      </c>
      <c r="F295" s="465" t="s">
        <v>96</v>
      </c>
      <c r="G295" s="466">
        <v>11.25</v>
      </c>
      <c r="H295" s="466">
        <v>0</v>
      </c>
      <c r="I295" s="467">
        <v>0</v>
      </c>
      <c r="J295" s="468">
        <v>0</v>
      </c>
    </row>
    <row r="296" spans="1:10" ht="12.75" outlineLevel="2">
      <c r="A296" s="645">
        <v>1144188029</v>
      </c>
      <c r="B296" s="635" t="s">
        <v>319</v>
      </c>
      <c r="C296" s="635" t="s">
        <v>1774</v>
      </c>
      <c r="D296" s="635"/>
      <c r="E296" s="635" t="s">
        <v>1494</v>
      </c>
      <c r="F296" s="465" t="s">
        <v>1845</v>
      </c>
      <c r="G296" s="466">
        <v>0</v>
      </c>
      <c r="H296" s="466">
        <v>1.18</v>
      </c>
      <c r="I296" s="467">
        <v>1.179</v>
      </c>
      <c r="J296" s="468">
        <v>0.001</v>
      </c>
    </row>
    <row r="297" spans="1:10" ht="12.75" outlineLevel="2">
      <c r="A297" s="645">
        <v>1144188030</v>
      </c>
      <c r="B297" s="635" t="s">
        <v>320</v>
      </c>
      <c r="C297" s="635" t="s">
        <v>1774</v>
      </c>
      <c r="D297" s="635"/>
      <c r="E297" s="635" t="s">
        <v>1494</v>
      </c>
      <c r="F297" s="465" t="s">
        <v>1845</v>
      </c>
      <c r="G297" s="466">
        <v>0</v>
      </c>
      <c r="H297" s="466">
        <v>2</v>
      </c>
      <c r="I297" s="467">
        <v>2</v>
      </c>
      <c r="J297" s="468">
        <v>0</v>
      </c>
    </row>
    <row r="298" spans="1:10" ht="12.75" outlineLevel="2">
      <c r="A298" s="645">
        <v>1144188031</v>
      </c>
      <c r="B298" s="635" t="s">
        <v>321</v>
      </c>
      <c r="C298" s="635" t="s">
        <v>1774</v>
      </c>
      <c r="D298" s="635"/>
      <c r="E298" s="635" t="s">
        <v>1494</v>
      </c>
      <c r="F298" s="465" t="s">
        <v>1845</v>
      </c>
      <c r="G298" s="466">
        <v>0</v>
      </c>
      <c r="H298" s="466">
        <v>1.829</v>
      </c>
      <c r="I298" s="467">
        <v>1.828</v>
      </c>
      <c r="J298" s="468">
        <v>0.001</v>
      </c>
    </row>
    <row r="299" spans="1:10" ht="12.75" outlineLevel="2">
      <c r="A299" s="645">
        <v>1144188032</v>
      </c>
      <c r="B299" s="635" t="s">
        <v>322</v>
      </c>
      <c r="C299" s="635" t="s">
        <v>1774</v>
      </c>
      <c r="D299" s="635"/>
      <c r="E299" s="635" t="s">
        <v>1494</v>
      </c>
      <c r="F299" s="465" t="s">
        <v>96</v>
      </c>
      <c r="G299" s="466">
        <v>0</v>
      </c>
      <c r="H299" s="466">
        <v>2.1</v>
      </c>
      <c r="I299" s="467">
        <v>2.1</v>
      </c>
      <c r="J299" s="468">
        <v>0</v>
      </c>
    </row>
    <row r="300" spans="1:10" ht="12.75" outlineLevel="2">
      <c r="A300" s="645">
        <v>1144188033</v>
      </c>
      <c r="B300" s="635" t="s">
        <v>323</v>
      </c>
      <c r="C300" s="635" t="s">
        <v>1774</v>
      </c>
      <c r="D300" s="635"/>
      <c r="E300" s="635" t="s">
        <v>1494</v>
      </c>
      <c r="F300" s="465" t="s">
        <v>1845</v>
      </c>
      <c r="G300" s="466">
        <v>0</v>
      </c>
      <c r="H300" s="466">
        <v>2</v>
      </c>
      <c r="I300" s="467">
        <v>2</v>
      </c>
      <c r="J300" s="468">
        <v>0</v>
      </c>
    </row>
    <row r="301" spans="1:10" ht="12.75" outlineLevel="2">
      <c r="A301" s="645">
        <v>1144188034</v>
      </c>
      <c r="B301" s="635" t="s">
        <v>324</v>
      </c>
      <c r="C301" s="635" t="s">
        <v>1774</v>
      </c>
      <c r="D301" s="635"/>
      <c r="E301" s="635" t="s">
        <v>1494</v>
      </c>
      <c r="F301" s="465" t="s">
        <v>96</v>
      </c>
      <c r="G301" s="466">
        <v>0</v>
      </c>
      <c r="H301" s="466">
        <v>2.2</v>
      </c>
      <c r="I301" s="467">
        <v>2.2</v>
      </c>
      <c r="J301" s="468">
        <v>0</v>
      </c>
    </row>
    <row r="302" spans="1:10" ht="12.75" outlineLevel="2">
      <c r="A302" s="645">
        <v>1144198004</v>
      </c>
      <c r="B302" s="635" t="s">
        <v>474</v>
      </c>
      <c r="C302" s="635" t="s">
        <v>1774</v>
      </c>
      <c r="D302" s="635"/>
      <c r="E302" s="635" t="s">
        <v>1533</v>
      </c>
      <c r="F302" s="465" t="s">
        <v>1845</v>
      </c>
      <c r="G302" s="466">
        <v>0.4</v>
      </c>
      <c r="H302" s="466">
        <v>0</v>
      </c>
      <c r="I302" s="467">
        <v>0</v>
      </c>
      <c r="J302" s="468">
        <v>0</v>
      </c>
    </row>
    <row r="303" spans="1:10" ht="12.75" outlineLevel="2">
      <c r="A303" s="645">
        <v>1144198004</v>
      </c>
      <c r="B303" s="635" t="s">
        <v>474</v>
      </c>
      <c r="C303" s="635" t="s">
        <v>1774</v>
      </c>
      <c r="D303" s="635"/>
      <c r="E303" s="635" t="s">
        <v>1533</v>
      </c>
      <c r="F303" s="465" t="s">
        <v>96</v>
      </c>
      <c r="G303" s="466">
        <v>0.8</v>
      </c>
      <c r="H303" s="466">
        <v>0</v>
      </c>
      <c r="I303" s="467">
        <v>0</v>
      </c>
      <c r="J303" s="468">
        <v>0</v>
      </c>
    </row>
    <row r="304" spans="1:10" ht="12.75" outlineLevel="2">
      <c r="A304" s="645">
        <v>1144198004</v>
      </c>
      <c r="B304" s="635" t="s">
        <v>474</v>
      </c>
      <c r="C304" s="635" t="s">
        <v>1774</v>
      </c>
      <c r="D304" s="635"/>
      <c r="E304" s="635" t="s">
        <v>1533</v>
      </c>
      <c r="F304" s="465" t="s">
        <v>118</v>
      </c>
      <c r="G304" s="466">
        <v>6.8</v>
      </c>
      <c r="H304" s="466">
        <v>0</v>
      </c>
      <c r="I304" s="467">
        <v>0</v>
      </c>
      <c r="J304" s="468">
        <v>0</v>
      </c>
    </row>
    <row r="305" spans="1:10" ht="12.75" outlineLevel="2">
      <c r="A305" s="645">
        <v>1144198030</v>
      </c>
      <c r="B305" s="635" t="s">
        <v>325</v>
      </c>
      <c r="C305" s="635" t="s">
        <v>1774</v>
      </c>
      <c r="D305" s="635"/>
      <c r="E305" s="635" t="s">
        <v>1494</v>
      </c>
      <c r="F305" s="465" t="s">
        <v>1845</v>
      </c>
      <c r="G305" s="466">
        <v>0.589</v>
      </c>
      <c r="H305" s="466">
        <v>0</v>
      </c>
      <c r="I305" s="467">
        <v>0</v>
      </c>
      <c r="J305" s="468">
        <v>0</v>
      </c>
    </row>
    <row r="306" spans="1:10" ht="12.75" outlineLevel="2">
      <c r="A306" s="645">
        <v>1144198030</v>
      </c>
      <c r="B306" s="635" t="s">
        <v>325</v>
      </c>
      <c r="C306" s="635" t="s">
        <v>1774</v>
      </c>
      <c r="D306" s="635"/>
      <c r="E306" s="635" t="s">
        <v>1494</v>
      </c>
      <c r="F306" s="465" t="s">
        <v>96</v>
      </c>
      <c r="G306" s="466">
        <v>5.3</v>
      </c>
      <c r="H306" s="466">
        <v>0.6</v>
      </c>
      <c r="I306" s="467">
        <v>0.6</v>
      </c>
      <c r="J306" s="468">
        <v>0</v>
      </c>
    </row>
    <row r="307" spans="1:10" ht="12.75" outlineLevel="2">
      <c r="A307" s="645">
        <v>1144198031</v>
      </c>
      <c r="B307" s="635" t="s">
        <v>326</v>
      </c>
      <c r="C307" s="635" t="s">
        <v>1774</v>
      </c>
      <c r="D307" s="635"/>
      <c r="E307" s="635" t="s">
        <v>1494</v>
      </c>
      <c r="F307" s="465" t="s">
        <v>1845</v>
      </c>
      <c r="G307" s="466">
        <v>0</v>
      </c>
      <c r="H307" s="466">
        <v>1.225</v>
      </c>
      <c r="I307" s="467">
        <v>1.19</v>
      </c>
      <c r="J307" s="468">
        <v>0.035</v>
      </c>
    </row>
    <row r="308" spans="1:10" ht="12.75" outlineLevel="2">
      <c r="A308" s="645">
        <v>1144198031</v>
      </c>
      <c r="B308" s="635" t="s">
        <v>326</v>
      </c>
      <c r="C308" s="635" t="s">
        <v>1774</v>
      </c>
      <c r="D308" s="635"/>
      <c r="E308" s="635" t="s">
        <v>1494</v>
      </c>
      <c r="F308" s="465" t="s">
        <v>96</v>
      </c>
      <c r="G308" s="466">
        <v>1.5</v>
      </c>
      <c r="H308" s="466">
        <v>0</v>
      </c>
      <c r="I308" s="467">
        <v>0</v>
      </c>
      <c r="J308" s="468">
        <v>0</v>
      </c>
    </row>
    <row r="309" spans="1:10" ht="12.75" outlineLevel="2">
      <c r="A309" s="645">
        <v>1144198032</v>
      </c>
      <c r="B309" s="635" t="s">
        <v>327</v>
      </c>
      <c r="C309" s="635" t="s">
        <v>1774</v>
      </c>
      <c r="D309" s="635"/>
      <c r="E309" s="635" t="s">
        <v>1494</v>
      </c>
      <c r="F309" s="465" t="s">
        <v>1845</v>
      </c>
      <c r="G309" s="466">
        <v>0</v>
      </c>
      <c r="H309" s="466">
        <v>2.214</v>
      </c>
      <c r="I309" s="467">
        <v>2.214</v>
      </c>
      <c r="J309" s="468">
        <v>0</v>
      </c>
    </row>
    <row r="310" spans="1:10" ht="13.5" outlineLevel="2" thickBot="1">
      <c r="A310" s="646">
        <v>1144198033</v>
      </c>
      <c r="B310" s="636" t="s">
        <v>328</v>
      </c>
      <c r="C310" s="636" t="s">
        <v>1774</v>
      </c>
      <c r="D310" s="636"/>
      <c r="E310" s="636" t="s">
        <v>1494</v>
      </c>
      <c r="F310" s="469" t="s">
        <v>1845</v>
      </c>
      <c r="G310" s="470">
        <v>0</v>
      </c>
      <c r="H310" s="470">
        <v>2.285</v>
      </c>
      <c r="I310" s="471">
        <v>2.285</v>
      </c>
      <c r="J310" s="472">
        <v>0</v>
      </c>
    </row>
    <row r="311" spans="1:10" s="149" customFormat="1" ht="13.5" outlineLevel="1" thickBot="1">
      <c r="A311" s="648" t="s">
        <v>329</v>
      </c>
      <c r="B311" s="637"/>
      <c r="C311" s="637"/>
      <c r="D311" s="637"/>
      <c r="E311" s="637"/>
      <c r="F311" s="458"/>
      <c r="G311" s="459">
        <f>SUBTOTAL(9,G239:G310)</f>
        <v>745.676</v>
      </c>
      <c r="H311" s="459">
        <f>SUBTOTAL(9,H239:H310)</f>
        <v>543.9459999999999</v>
      </c>
      <c r="I311" s="473">
        <f>SUBTOTAL(9,I239:I310)</f>
        <v>462.91099999999994</v>
      </c>
      <c r="J311" s="474">
        <f>SUBTOTAL(9,J239:J310)</f>
        <v>81.03500000000001</v>
      </c>
    </row>
    <row r="312" spans="1:10" ht="12.75" outlineLevel="2">
      <c r="A312" s="644" t="s">
        <v>330</v>
      </c>
      <c r="B312" s="634" t="s">
        <v>331</v>
      </c>
      <c r="C312" s="634" t="s">
        <v>1774</v>
      </c>
      <c r="D312" s="634"/>
      <c r="E312" s="634" t="s">
        <v>1494</v>
      </c>
      <c r="F312" s="461" t="s">
        <v>332</v>
      </c>
      <c r="G312" s="462">
        <v>0</v>
      </c>
      <c r="H312" s="462">
        <v>0</v>
      </c>
      <c r="I312" s="463">
        <v>0.696</v>
      </c>
      <c r="J312" s="464">
        <v>0</v>
      </c>
    </row>
    <row r="313" spans="1:10" ht="12.75" outlineLevel="2">
      <c r="A313" s="645">
        <v>2140117001</v>
      </c>
      <c r="B313" s="635" t="s">
        <v>331</v>
      </c>
      <c r="C313" s="635" t="s">
        <v>1774</v>
      </c>
      <c r="D313" s="635"/>
      <c r="E313" s="635" t="s">
        <v>1494</v>
      </c>
      <c r="F313" s="465" t="s">
        <v>333</v>
      </c>
      <c r="G313" s="466">
        <v>0</v>
      </c>
      <c r="H313" s="466">
        <v>0</v>
      </c>
      <c r="I313" s="467">
        <v>0.17</v>
      </c>
      <c r="J313" s="468">
        <v>0</v>
      </c>
    </row>
    <row r="314" spans="1:10" ht="13.5" outlineLevel="2" thickBot="1">
      <c r="A314" s="646">
        <v>2140127009</v>
      </c>
      <c r="B314" s="636" t="s">
        <v>334</v>
      </c>
      <c r="C314" s="636" t="s">
        <v>129</v>
      </c>
      <c r="D314" s="636"/>
      <c r="E314" s="636" t="s">
        <v>1494</v>
      </c>
      <c r="F314" s="469" t="s">
        <v>96</v>
      </c>
      <c r="G314" s="470">
        <v>16.041</v>
      </c>
      <c r="H314" s="470">
        <v>16.041</v>
      </c>
      <c r="I314" s="471">
        <v>16.041</v>
      </c>
      <c r="J314" s="472">
        <v>0</v>
      </c>
    </row>
    <row r="315" spans="1:10" s="149" customFormat="1" ht="13.5" outlineLevel="1" thickBot="1">
      <c r="A315" s="648" t="s">
        <v>335</v>
      </c>
      <c r="B315" s="637"/>
      <c r="C315" s="637"/>
      <c r="D315" s="637"/>
      <c r="E315" s="637"/>
      <c r="F315" s="458"/>
      <c r="G315" s="459">
        <f>SUBTOTAL(9,G312:G314)</f>
        <v>16.041</v>
      </c>
      <c r="H315" s="459">
        <f>SUBTOTAL(9,H312:H314)</f>
        <v>16.041</v>
      </c>
      <c r="I315" s="473">
        <f>SUBTOTAL(9,I312:I314)</f>
        <v>16.907</v>
      </c>
      <c r="J315" s="474">
        <f>SUBTOTAL(9,J312:J314)</f>
        <v>0</v>
      </c>
    </row>
    <row r="316" spans="1:10" ht="12.75" outlineLevel="2">
      <c r="A316" s="644">
        <v>2140218001</v>
      </c>
      <c r="B316" s="634" t="s">
        <v>336</v>
      </c>
      <c r="C316" s="634" t="s">
        <v>838</v>
      </c>
      <c r="D316" s="634"/>
      <c r="E316" s="634" t="s">
        <v>1494</v>
      </c>
      <c r="F316" s="461" t="s">
        <v>96</v>
      </c>
      <c r="G316" s="462">
        <v>0.8</v>
      </c>
      <c r="H316" s="462">
        <v>0</v>
      </c>
      <c r="I316" s="463">
        <v>0</v>
      </c>
      <c r="J316" s="464">
        <v>0</v>
      </c>
    </row>
    <row r="317" spans="1:10" ht="12.75" outlineLevel="2">
      <c r="A317" s="645">
        <v>2140218002</v>
      </c>
      <c r="B317" s="635" t="s">
        <v>336</v>
      </c>
      <c r="C317" s="635" t="s">
        <v>838</v>
      </c>
      <c r="D317" s="635"/>
      <c r="E317" s="635" t="s">
        <v>1494</v>
      </c>
      <c r="F317" s="465" t="s">
        <v>1845</v>
      </c>
      <c r="G317" s="466">
        <v>1.4</v>
      </c>
      <c r="H317" s="466">
        <v>2.33</v>
      </c>
      <c r="I317" s="467">
        <v>2.326</v>
      </c>
      <c r="J317" s="468">
        <v>0.004</v>
      </c>
    </row>
    <row r="318" spans="1:10" ht="12.75" outlineLevel="2">
      <c r="A318" s="645">
        <v>2140218002</v>
      </c>
      <c r="B318" s="635" t="s">
        <v>336</v>
      </c>
      <c r="C318" s="635" t="s">
        <v>838</v>
      </c>
      <c r="D318" s="635"/>
      <c r="E318" s="635" t="s">
        <v>1494</v>
      </c>
      <c r="F318" s="465" t="s">
        <v>96</v>
      </c>
      <c r="G318" s="466">
        <v>0</v>
      </c>
      <c r="H318" s="466">
        <v>0.5</v>
      </c>
      <c r="I318" s="467">
        <v>0.496</v>
      </c>
      <c r="J318" s="468">
        <v>0.004</v>
      </c>
    </row>
    <row r="319" spans="1:10" ht="12.75" outlineLevel="2">
      <c r="A319" s="645">
        <v>2140218003</v>
      </c>
      <c r="B319" s="635" t="s">
        <v>337</v>
      </c>
      <c r="C319" s="635" t="s">
        <v>838</v>
      </c>
      <c r="D319" s="635"/>
      <c r="E319" s="635" t="s">
        <v>1494</v>
      </c>
      <c r="F319" s="465" t="s">
        <v>1845</v>
      </c>
      <c r="G319" s="466">
        <v>0.55</v>
      </c>
      <c r="H319" s="466">
        <v>0.392</v>
      </c>
      <c r="I319" s="467">
        <v>0.321</v>
      </c>
      <c r="J319" s="468">
        <v>0.071</v>
      </c>
    </row>
    <row r="320" spans="1:10" ht="12.75" outlineLevel="2">
      <c r="A320" s="645">
        <v>2140218004</v>
      </c>
      <c r="B320" s="635" t="s">
        <v>338</v>
      </c>
      <c r="C320" s="635" t="s">
        <v>838</v>
      </c>
      <c r="D320" s="635"/>
      <c r="E320" s="635" t="s">
        <v>1494</v>
      </c>
      <c r="F320" s="465" t="s">
        <v>1845</v>
      </c>
      <c r="G320" s="466">
        <v>0.55</v>
      </c>
      <c r="H320" s="466">
        <v>0.541</v>
      </c>
      <c r="I320" s="467">
        <v>0.526</v>
      </c>
      <c r="J320" s="468">
        <v>0.015</v>
      </c>
    </row>
    <row r="321" spans="1:10" ht="12.75" outlineLevel="2">
      <c r="A321" s="645">
        <v>2140218005</v>
      </c>
      <c r="B321" s="635" t="s">
        <v>556</v>
      </c>
      <c r="C321" s="635" t="s">
        <v>838</v>
      </c>
      <c r="D321" s="635"/>
      <c r="E321" s="635" t="s">
        <v>1494</v>
      </c>
      <c r="F321" s="465" t="s">
        <v>1845</v>
      </c>
      <c r="G321" s="466">
        <v>0.75</v>
      </c>
      <c r="H321" s="466">
        <v>0.487</v>
      </c>
      <c r="I321" s="467">
        <v>0.487</v>
      </c>
      <c r="J321" s="468">
        <v>0</v>
      </c>
    </row>
    <row r="322" spans="1:10" ht="12.75" outlineLevel="2">
      <c r="A322" s="645">
        <v>2140218006</v>
      </c>
      <c r="B322" s="635" t="s">
        <v>557</v>
      </c>
      <c r="C322" s="635" t="s">
        <v>838</v>
      </c>
      <c r="D322" s="635"/>
      <c r="E322" s="635" t="s">
        <v>1494</v>
      </c>
      <c r="F322" s="465" t="s">
        <v>1845</v>
      </c>
      <c r="G322" s="466">
        <v>0.02</v>
      </c>
      <c r="H322" s="466">
        <v>0</v>
      </c>
      <c r="I322" s="467">
        <v>0</v>
      </c>
      <c r="J322" s="468">
        <v>0</v>
      </c>
    </row>
    <row r="323" spans="1:10" ht="12.75" outlineLevel="2">
      <c r="A323" s="645">
        <v>2140218007</v>
      </c>
      <c r="B323" s="635" t="s">
        <v>558</v>
      </c>
      <c r="C323" s="635" t="s">
        <v>559</v>
      </c>
      <c r="D323" s="635"/>
      <c r="E323" s="635" t="s">
        <v>1494</v>
      </c>
      <c r="F323" s="465" t="s">
        <v>96</v>
      </c>
      <c r="G323" s="466">
        <v>0.5</v>
      </c>
      <c r="H323" s="466">
        <v>0.44</v>
      </c>
      <c r="I323" s="467">
        <v>0.439</v>
      </c>
      <c r="J323" s="468">
        <v>0.001</v>
      </c>
    </row>
    <row r="324" spans="1:10" ht="12.75" outlineLevel="2">
      <c r="A324" s="645">
        <v>2140218008</v>
      </c>
      <c r="B324" s="635" t="s">
        <v>560</v>
      </c>
      <c r="C324" s="635" t="s">
        <v>559</v>
      </c>
      <c r="D324" s="635"/>
      <c r="E324" s="635" t="s">
        <v>1533</v>
      </c>
      <c r="F324" s="465" t="s">
        <v>96</v>
      </c>
      <c r="G324" s="466">
        <v>0.2</v>
      </c>
      <c r="H324" s="466">
        <v>0</v>
      </c>
      <c r="I324" s="467">
        <v>0</v>
      </c>
      <c r="J324" s="468">
        <v>0</v>
      </c>
    </row>
    <row r="325" spans="1:10" ht="12.75" outlineLevel="2">
      <c r="A325" s="645">
        <v>2140218009</v>
      </c>
      <c r="B325" s="635" t="s">
        <v>561</v>
      </c>
      <c r="C325" s="635" t="s">
        <v>559</v>
      </c>
      <c r="D325" s="635"/>
      <c r="E325" s="635" t="s">
        <v>1494</v>
      </c>
      <c r="F325" s="465" t="s">
        <v>1845</v>
      </c>
      <c r="G325" s="466">
        <v>0</v>
      </c>
      <c r="H325" s="466">
        <v>0.144</v>
      </c>
      <c r="I325" s="467">
        <v>0.143</v>
      </c>
      <c r="J325" s="468">
        <v>0.001</v>
      </c>
    </row>
    <row r="326" spans="1:10" ht="12.75" outlineLevel="2">
      <c r="A326" s="645">
        <v>2140218009</v>
      </c>
      <c r="B326" s="635" t="s">
        <v>561</v>
      </c>
      <c r="C326" s="635" t="s">
        <v>559</v>
      </c>
      <c r="D326" s="635"/>
      <c r="E326" s="635" t="s">
        <v>1494</v>
      </c>
      <c r="F326" s="465" t="s">
        <v>96</v>
      </c>
      <c r="G326" s="466">
        <v>0.11</v>
      </c>
      <c r="H326" s="466">
        <v>0</v>
      </c>
      <c r="I326" s="467">
        <v>0</v>
      </c>
      <c r="J326" s="468">
        <v>0</v>
      </c>
    </row>
    <row r="327" spans="1:10" ht="12.75" outlineLevel="2">
      <c r="A327" s="645">
        <v>2140218010</v>
      </c>
      <c r="B327" s="635" t="s">
        <v>562</v>
      </c>
      <c r="C327" s="635" t="s">
        <v>559</v>
      </c>
      <c r="D327" s="635"/>
      <c r="E327" s="635" t="s">
        <v>1494</v>
      </c>
      <c r="F327" s="465" t="s">
        <v>96</v>
      </c>
      <c r="G327" s="466">
        <v>0.6</v>
      </c>
      <c r="H327" s="466">
        <v>0.5</v>
      </c>
      <c r="I327" s="467">
        <v>0.5</v>
      </c>
      <c r="J327" s="468">
        <v>0</v>
      </c>
    </row>
    <row r="328" spans="1:10" ht="12.75" outlineLevel="2">
      <c r="A328" s="645">
        <v>2140218011</v>
      </c>
      <c r="B328" s="635" t="s">
        <v>563</v>
      </c>
      <c r="C328" s="635" t="s">
        <v>559</v>
      </c>
      <c r="D328" s="635"/>
      <c r="E328" s="635" t="s">
        <v>1494</v>
      </c>
      <c r="F328" s="465" t="s">
        <v>1845</v>
      </c>
      <c r="G328" s="466">
        <v>1.323</v>
      </c>
      <c r="H328" s="466">
        <v>1.25</v>
      </c>
      <c r="I328" s="467">
        <v>1.25</v>
      </c>
      <c r="J328" s="468">
        <v>0</v>
      </c>
    </row>
    <row r="329" spans="1:10" ht="12.75" outlineLevel="2">
      <c r="A329" s="645">
        <v>2140218011</v>
      </c>
      <c r="B329" s="635" t="s">
        <v>563</v>
      </c>
      <c r="C329" s="635" t="s">
        <v>559</v>
      </c>
      <c r="D329" s="635"/>
      <c r="E329" s="635" t="s">
        <v>1494</v>
      </c>
      <c r="F329" s="465" t="s">
        <v>96</v>
      </c>
      <c r="G329" s="466">
        <v>0</v>
      </c>
      <c r="H329" s="466">
        <v>1.207</v>
      </c>
      <c r="I329" s="467">
        <v>1.205</v>
      </c>
      <c r="J329" s="468">
        <v>0.002</v>
      </c>
    </row>
    <row r="330" spans="1:10" ht="12.75" outlineLevel="2">
      <c r="A330" s="645">
        <v>2140218012</v>
      </c>
      <c r="B330" s="635" t="s">
        <v>564</v>
      </c>
      <c r="C330" s="635" t="s">
        <v>559</v>
      </c>
      <c r="D330" s="635"/>
      <c r="E330" s="635" t="s">
        <v>1494</v>
      </c>
      <c r="F330" s="465" t="s">
        <v>1845</v>
      </c>
      <c r="G330" s="466">
        <v>0.15</v>
      </c>
      <c r="H330" s="466">
        <v>0.146</v>
      </c>
      <c r="I330" s="467">
        <v>0.145</v>
      </c>
      <c r="J330" s="468">
        <v>0.001</v>
      </c>
    </row>
    <row r="331" spans="1:10" ht="12.75" outlineLevel="2">
      <c r="A331" s="645">
        <v>2140218013</v>
      </c>
      <c r="B331" s="635" t="s">
        <v>565</v>
      </c>
      <c r="C331" s="635" t="s">
        <v>559</v>
      </c>
      <c r="D331" s="635"/>
      <c r="E331" s="635" t="s">
        <v>1494</v>
      </c>
      <c r="F331" s="465" t="s">
        <v>1845</v>
      </c>
      <c r="G331" s="466">
        <v>1.54</v>
      </c>
      <c r="H331" s="466">
        <v>1.34</v>
      </c>
      <c r="I331" s="467">
        <v>1.339</v>
      </c>
      <c r="J331" s="468">
        <v>0.001</v>
      </c>
    </row>
    <row r="332" spans="1:10" ht="12.75" outlineLevel="2">
      <c r="A332" s="645">
        <v>2140218014</v>
      </c>
      <c r="B332" s="635" t="s">
        <v>566</v>
      </c>
      <c r="C332" s="635" t="s">
        <v>559</v>
      </c>
      <c r="D332" s="635"/>
      <c r="E332" s="635" t="s">
        <v>1494</v>
      </c>
      <c r="F332" s="465" t="s">
        <v>1845</v>
      </c>
      <c r="G332" s="466">
        <v>1.5</v>
      </c>
      <c r="H332" s="466">
        <v>1.173</v>
      </c>
      <c r="I332" s="467">
        <v>1.172</v>
      </c>
      <c r="J332" s="468">
        <v>0.001</v>
      </c>
    </row>
    <row r="333" spans="1:10" ht="12.75" outlineLevel="2">
      <c r="A333" s="645">
        <v>2140218015</v>
      </c>
      <c r="B333" s="635" t="s">
        <v>567</v>
      </c>
      <c r="C333" s="635" t="s">
        <v>559</v>
      </c>
      <c r="D333" s="635"/>
      <c r="E333" s="635" t="s">
        <v>1494</v>
      </c>
      <c r="F333" s="465" t="s">
        <v>1845</v>
      </c>
      <c r="G333" s="466">
        <v>0.7</v>
      </c>
      <c r="H333" s="466">
        <v>0.671</v>
      </c>
      <c r="I333" s="467">
        <v>0.671</v>
      </c>
      <c r="J333" s="468">
        <v>0</v>
      </c>
    </row>
    <row r="334" spans="1:10" ht="12.75" outlineLevel="2">
      <c r="A334" s="645">
        <v>2140218016</v>
      </c>
      <c r="B334" s="635" t="s">
        <v>568</v>
      </c>
      <c r="C334" s="635" t="s">
        <v>569</v>
      </c>
      <c r="D334" s="635"/>
      <c r="E334" s="635" t="s">
        <v>1494</v>
      </c>
      <c r="F334" s="465" t="s">
        <v>1845</v>
      </c>
      <c r="G334" s="466">
        <v>1</v>
      </c>
      <c r="H334" s="466">
        <v>0.821</v>
      </c>
      <c r="I334" s="467">
        <v>0.82</v>
      </c>
      <c r="J334" s="468">
        <v>0.001</v>
      </c>
    </row>
    <row r="335" spans="1:10" ht="12.75" outlineLevel="2">
      <c r="A335" s="645">
        <v>2140218017</v>
      </c>
      <c r="B335" s="635" t="s">
        <v>570</v>
      </c>
      <c r="C335" s="635" t="s">
        <v>569</v>
      </c>
      <c r="D335" s="635"/>
      <c r="E335" s="635" t="s">
        <v>1494</v>
      </c>
      <c r="F335" s="465" t="s">
        <v>1845</v>
      </c>
      <c r="G335" s="466">
        <v>0.385</v>
      </c>
      <c r="H335" s="466">
        <v>0.156</v>
      </c>
      <c r="I335" s="467">
        <v>0.155</v>
      </c>
      <c r="J335" s="468">
        <v>0.001</v>
      </c>
    </row>
    <row r="336" spans="1:10" ht="12.75" outlineLevel="2">
      <c r="A336" s="645">
        <v>2140218018</v>
      </c>
      <c r="B336" s="635" t="s">
        <v>571</v>
      </c>
      <c r="C336" s="635" t="s">
        <v>569</v>
      </c>
      <c r="D336" s="635"/>
      <c r="E336" s="635" t="s">
        <v>1494</v>
      </c>
      <c r="F336" s="465" t="s">
        <v>1845</v>
      </c>
      <c r="G336" s="466">
        <v>0.435</v>
      </c>
      <c r="H336" s="466">
        <v>0.274</v>
      </c>
      <c r="I336" s="467">
        <v>0.271</v>
      </c>
      <c r="J336" s="468">
        <v>0.003</v>
      </c>
    </row>
    <row r="337" spans="1:10" ht="12.75" outlineLevel="2">
      <c r="A337" s="645">
        <v>2140218019</v>
      </c>
      <c r="B337" s="635" t="s">
        <v>572</v>
      </c>
      <c r="C337" s="635" t="s">
        <v>569</v>
      </c>
      <c r="D337" s="635"/>
      <c r="E337" s="635" t="s">
        <v>1494</v>
      </c>
      <c r="F337" s="465" t="s">
        <v>1845</v>
      </c>
      <c r="G337" s="466">
        <v>0.65</v>
      </c>
      <c r="H337" s="466">
        <v>0.587</v>
      </c>
      <c r="I337" s="467">
        <v>0.587</v>
      </c>
      <c r="J337" s="468">
        <v>0</v>
      </c>
    </row>
    <row r="338" spans="1:10" ht="12.75" outlineLevel="2">
      <c r="A338" s="645">
        <v>2140218020</v>
      </c>
      <c r="B338" s="635" t="s">
        <v>573</v>
      </c>
      <c r="C338" s="635" t="s">
        <v>569</v>
      </c>
      <c r="D338" s="635"/>
      <c r="E338" s="635" t="s">
        <v>1494</v>
      </c>
      <c r="F338" s="465" t="s">
        <v>1845</v>
      </c>
      <c r="G338" s="466">
        <v>0.586</v>
      </c>
      <c r="H338" s="466">
        <v>0.586</v>
      </c>
      <c r="I338" s="467">
        <v>0.586</v>
      </c>
      <c r="J338" s="468">
        <v>0</v>
      </c>
    </row>
    <row r="339" spans="1:10" ht="12.75" outlineLevel="2">
      <c r="A339" s="645">
        <v>2140218021</v>
      </c>
      <c r="B339" s="635" t="s">
        <v>574</v>
      </c>
      <c r="C339" s="635" t="s">
        <v>575</v>
      </c>
      <c r="D339" s="635"/>
      <c r="E339" s="635" t="s">
        <v>1494</v>
      </c>
      <c r="F339" s="465" t="s">
        <v>96</v>
      </c>
      <c r="G339" s="466">
        <v>0.18</v>
      </c>
      <c r="H339" s="466">
        <v>0.16</v>
      </c>
      <c r="I339" s="467">
        <v>0.16</v>
      </c>
      <c r="J339" s="468">
        <v>0</v>
      </c>
    </row>
    <row r="340" spans="1:10" ht="12.75" outlineLevel="2">
      <c r="A340" s="645">
        <v>2140218022</v>
      </c>
      <c r="B340" s="635" t="s">
        <v>576</v>
      </c>
      <c r="C340" s="635" t="s">
        <v>575</v>
      </c>
      <c r="D340" s="635"/>
      <c r="E340" s="635" t="s">
        <v>1494</v>
      </c>
      <c r="F340" s="465" t="s">
        <v>1845</v>
      </c>
      <c r="G340" s="466">
        <v>0.24</v>
      </c>
      <c r="H340" s="466">
        <v>0.24</v>
      </c>
      <c r="I340" s="467">
        <v>0.24</v>
      </c>
      <c r="J340" s="468">
        <v>0</v>
      </c>
    </row>
    <row r="341" spans="1:10" ht="12.75" outlineLevel="2">
      <c r="A341" s="645">
        <v>2140218023</v>
      </c>
      <c r="B341" s="635" t="s">
        <v>577</v>
      </c>
      <c r="C341" s="635" t="s">
        <v>575</v>
      </c>
      <c r="D341" s="635"/>
      <c r="E341" s="635" t="s">
        <v>1494</v>
      </c>
      <c r="F341" s="465" t="s">
        <v>1845</v>
      </c>
      <c r="G341" s="466">
        <v>0.397</v>
      </c>
      <c r="H341" s="466">
        <v>0.219</v>
      </c>
      <c r="I341" s="467">
        <v>0.219</v>
      </c>
      <c r="J341" s="468">
        <v>0</v>
      </c>
    </row>
    <row r="342" spans="1:10" ht="12.75" outlineLevel="2">
      <c r="A342" s="645">
        <v>2140218024</v>
      </c>
      <c r="B342" s="635" t="s">
        <v>578</v>
      </c>
      <c r="C342" s="635" t="s">
        <v>575</v>
      </c>
      <c r="D342" s="635"/>
      <c r="E342" s="635" t="s">
        <v>1494</v>
      </c>
      <c r="F342" s="465" t="s">
        <v>1845</v>
      </c>
      <c r="G342" s="466">
        <v>0.5</v>
      </c>
      <c r="H342" s="466">
        <v>0.5</v>
      </c>
      <c r="I342" s="467">
        <v>0.5</v>
      </c>
      <c r="J342" s="468">
        <v>0</v>
      </c>
    </row>
    <row r="343" spans="1:10" ht="12.75" outlineLevel="2">
      <c r="A343" s="645">
        <v>2140218025</v>
      </c>
      <c r="B343" s="635" t="s">
        <v>579</v>
      </c>
      <c r="C343" s="635" t="s">
        <v>575</v>
      </c>
      <c r="D343" s="635"/>
      <c r="E343" s="635" t="s">
        <v>1494</v>
      </c>
      <c r="F343" s="465" t="s">
        <v>1845</v>
      </c>
      <c r="G343" s="466">
        <v>0.265</v>
      </c>
      <c r="H343" s="466">
        <v>0.443</v>
      </c>
      <c r="I343" s="467">
        <v>0.442</v>
      </c>
      <c r="J343" s="468">
        <v>0.001</v>
      </c>
    </row>
    <row r="344" spans="1:10" ht="12.75" outlineLevel="2">
      <c r="A344" s="645">
        <v>2140218026</v>
      </c>
      <c r="B344" s="635" t="s">
        <v>580</v>
      </c>
      <c r="C344" s="635" t="s">
        <v>581</v>
      </c>
      <c r="D344" s="635"/>
      <c r="E344" s="635" t="s">
        <v>1494</v>
      </c>
      <c r="F344" s="465" t="s">
        <v>1845</v>
      </c>
      <c r="G344" s="466">
        <v>0.22</v>
      </c>
      <c r="H344" s="466">
        <v>0.336</v>
      </c>
      <c r="I344" s="467">
        <v>0.336</v>
      </c>
      <c r="J344" s="468">
        <v>0</v>
      </c>
    </row>
    <row r="345" spans="1:10" ht="12.75" outlineLevel="2">
      <c r="A345" s="645">
        <v>2140218027</v>
      </c>
      <c r="B345" s="635" t="s">
        <v>582</v>
      </c>
      <c r="C345" s="635" t="s">
        <v>581</v>
      </c>
      <c r="D345" s="635"/>
      <c r="E345" s="635" t="s">
        <v>1494</v>
      </c>
      <c r="F345" s="465" t="s">
        <v>1845</v>
      </c>
      <c r="G345" s="466">
        <v>0.43</v>
      </c>
      <c r="H345" s="466">
        <v>0.183</v>
      </c>
      <c r="I345" s="467">
        <v>0.183</v>
      </c>
      <c r="J345" s="468">
        <v>0</v>
      </c>
    </row>
    <row r="346" spans="1:10" ht="12.75" outlineLevel="2">
      <c r="A346" s="645">
        <v>2140218028</v>
      </c>
      <c r="B346" s="635" t="s">
        <v>583</v>
      </c>
      <c r="C346" s="635" t="s">
        <v>581</v>
      </c>
      <c r="D346" s="635"/>
      <c r="E346" s="635" t="s">
        <v>1494</v>
      </c>
      <c r="F346" s="465" t="s">
        <v>96</v>
      </c>
      <c r="G346" s="466">
        <v>0.076</v>
      </c>
      <c r="H346" s="466">
        <v>0.076</v>
      </c>
      <c r="I346" s="467">
        <v>0.076</v>
      </c>
      <c r="J346" s="468">
        <v>0</v>
      </c>
    </row>
    <row r="347" spans="1:10" ht="12.75" outlineLevel="2">
      <c r="A347" s="645">
        <v>2140218029</v>
      </c>
      <c r="B347" s="635" t="s">
        <v>584</v>
      </c>
      <c r="C347" s="635" t="s">
        <v>581</v>
      </c>
      <c r="D347" s="635"/>
      <c r="E347" s="635" t="s">
        <v>1494</v>
      </c>
      <c r="F347" s="465" t="s">
        <v>1845</v>
      </c>
      <c r="G347" s="466">
        <v>0.412</v>
      </c>
      <c r="H347" s="466">
        <v>0.4</v>
      </c>
      <c r="I347" s="467">
        <v>0.399</v>
      </c>
      <c r="J347" s="468">
        <v>0.001</v>
      </c>
    </row>
    <row r="348" spans="1:10" ht="12.75" outlineLevel="2">
      <c r="A348" s="645">
        <v>2140218029</v>
      </c>
      <c r="B348" s="635" t="s">
        <v>584</v>
      </c>
      <c r="C348" s="635" t="s">
        <v>581</v>
      </c>
      <c r="D348" s="635"/>
      <c r="E348" s="635" t="s">
        <v>1494</v>
      </c>
      <c r="F348" s="465" t="s">
        <v>96</v>
      </c>
      <c r="G348" s="466">
        <v>0.1</v>
      </c>
      <c r="H348" s="466">
        <v>0.106</v>
      </c>
      <c r="I348" s="467">
        <v>0.106</v>
      </c>
      <c r="J348" s="468">
        <v>0</v>
      </c>
    </row>
    <row r="349" spans="1:10" ht="12.75" outlineLevel="2">
      <c r="A349" s="645">
        <v>2140218031</v>
      </c>
      <c r="B349" s="635" t="s">
        <v>585</v>
      </c>
      <c r="C349" s="635" t="s">
        <v>581</v>
      </c>
      <c r="D349" s="635"/>
      <c r="E349" s="635" t="s">
        <v>1533</v>
      </c>
      <c r="F349" s="465" t="s">
        <v>96</v>
      </c>
      <c r="G349" s="466">
        <v>0.4</v>
      </c>
      <c r="H349" s="466">
        <v>0</v>
      </c>
      <c r="I349" s="467">
        <v>0</v>
      </c>
      <c r="J349" s="468">
        <v>0</v>
      </c>
    </row>
    <row r="350" spans="1:10" ht="12.75" outlineLevel="2">
      <c r="A350" s="645">
        <v>2140218032</v>
      </c>
      <c r="B350" s="635" t="s">
        <v>586</v>
      </c>
      <c r="C350" s="635" t="s">
        <v>581</v>
      </c>
      <c r="D350" s="635"/>
      <c r="E350" s="635" t="s">
        <v>1494</v>
      </c>
      <c r="F350" s="465" t="s">
        <v>1845</v>
      </c>
      <c r="G350" s="466">
        <v>0.038</v>
      </c>
      <c r="H350" s="466">
        <v>0.038</v>
      </c>
      <c r="I350" s="467">
        <v>0.038</v>
      </c>
      <c r="J350" s="468">
        <v>0</v>
      </c>
    </row>
    <row r="351" spans="1:10" ht="12.75" outlineLevel="2">
      <c r="A351" s="645">
        <v>2140218033</v>
      </c>
      <c r="B351" s="635" t="s">
        <v>584</v>
      </c>
      <c r="C351" s="635" t="s">
        <v>2189</v>
      </c>
      <c r="D351" s="635"/>
      <c r="E351" s="635" t="s">
        <v>1494</v>
      </c>
      <c r="F351" s="465" t="s">
        <v>96</v>
      </c>
      <c r="G351" s="466">
        <v>0.25</v>
      </c>
      <c r="H351" s="466">
        <v>0.288</v>
      </c>
      <c r="I351" s="467">
        <v>0.288</v>
      </c>
      <c r="J351" s="468">
        <v>0</v>
      </c>
    </row>
    <row r="352" spans="1:10" ht="12.75" outlineLevel="2">
      <c r="A352" s="645">
        <v>2140218034</v>
      </c>
      <c r="B352" s="635" t="s">
        <v>2190</v>
      </c>
      <c r="C352" s="635" t="s">
        <v>2189</v>
      </c>
      <c r="D352" s="635"/>
      <c r="E352" s="635" t="s">
        <v>1494</v>
      </c>
      <c r="F352" s="465" t="s">
        <v>1845</v>
      </c>
      <c r="G352" s="466">
        <v>0.08</v>
      </c>
      <c r="H352" s="466">
        <v>0.08</v>
      </c>
      <c r="I352" s="467">
        <v>0.08</v>
      </c>
      <c r="J352" s="468">
        <v>0</v>
      </c>
    </row>
    <row r="353" spans="1:10" ht="12.75" outlineLevel="2">
      <c r="A353" s="645">
        <v>2140218034</v>
      </c>
      <c r="B353" s="635" t="s">
        <v>2190</v>
      </c>
      <c r="C353" s="635" t="s">
        <v>2189</v>
      </c>
      <c r="D353" s="635"/>
      <c r="E353" s="635" t="s">
        <v>1494</v>
      </c>
      <c r="F353" s="465" t="s">
        <v>96</v>
      </c>
      <c r="G353" s="466">
        <v>0.12</v>
      </c>
      <c r="H353" s="466">
        <v>0</v>
      </c>
      <c r="I353" s="467">
        <v>0</v>
      </c>
      <c r="J353" s="468">
        <v>0</v>
      </c>
    </row>
    <row r="354" spans="1:10" ht="12.75" outlineLevel="2">
      <c r="A354" s="645">
        <v>2140218035</v>
      </c>
      <c r="B354" s="635" t="s">
        <v>2191</v>
      </c>
      <c r="C354" s="635" t="s">
        <v>2189</v>
      </c>
      <c r="D354" s="635"/>
      <c r="E354" s="635" t="s">
        <v>1494</v>
      </c>
      <c r="F354" s="465" t="s">
        <v>1845</v>
      </c>
      <c r="G354" s="466">
        <v>1.832</v>
      </c>
      <c r="H354" s="466">
        <v>2.223</v>
      </c>
      <c r="I354" s="467">
        <v>2.222</v>
      </c>
      <c r="J354" s="468">
        <v>0.001</v>
      </c>
    </row>
    <row r="355" spans="1:10" ht="12.75" outlineLevel="2">
      <c r="A355" s="645">
        <v>2140218036</v>
      </c>
      <c r="B355" s="635" t="s">
        <v>2192</v>
      </c>
      <c r="C355" s="635" t="s">
        <v>2189</v>
      </c>
      <c r="D355" s="635"/>
      <c r="E355" s="635" t="s">
        <v>1494</v>
      </c>
      <c r="F355" s="465" t="s">
        <v>1845</v>
      </c>
      <c r="G355" s="466">
        <v>0.6</v>
      </c>
      <c r="H355" s="466">
        <v>0.576</v>
      </c>
      <c r="I355" s="467">
        <v>0.575</v>
      </c>
      <c r="J355" s="468">
        <v>0.001</v>
      </c>
    </row>
    <row r="356" spans="1:10" ht="12.75" outlineLevel="2">
      <c r="A356" s="645">
        <v>2140218036</v>
      </c>
      <c r="B356" s="635" t="s">
        <v>2192</v>
      </c>
      <c r="C356" s="635" t="s">
        <v>2189</v>
      </c>
      <c r="D356" s="635"/>
      <c r="E356" s="635" t="s">
        <v>1494</v>
      </c>
      <c r="F356" s="465" t="s">
        <v>96</v>
      </c>
      <c r="G356" s="466">
        <v>0.17</v>
      </c>
      <c r="H356" s="466">
        <v>0.156</v>
      </c>
      <c r="I356" s="467">
        <v>0.156</v>
      </c>
      <c r="J356" s="468">
        <v>0</v>
      </c>
    </row>
    <row r="357" spans="1:10" ht="12.75" outlineLevel="2">
      <c r="A357" s="645">
        <v>2140218037</v>
      </c>
      <c r="B357" s="635" t="s">
        <v>2193</v>
      </c>
      <c r="C357" s="635" t="s">
        <v>2189</v>
      </c>
      <c r="D357" s="635"/>
      <c r="E357" s="635" t="s">
        <v>1494</v>
      </c>
      <c r="F357" s="465" t="s">
        <v>1845</v>
      </c>
      <c r="G357" s="466">
        <v>0.72</v>
      </c>
      <c r="H357" s="466">
        <v>0.891</v>
      </c>
      <c r="I357" s="467">
        <v>0.891</v>
      </c>
      <c r="J357" s="468">
        <v>0</v>
      </c>
    </row>
    <row r="358" spans="1:10" ht="12.75" outlineLevel="2">
      <c r="A358" s="645">
        <v>2140218038</v>
      </c>
      <c r="B358" s="635" t="s">
        <v>2194</v>
      </c>
      <c r="C358" s="635" t="s">
        <v>2189</v>
      </c>
      <c r="D358" s="635"/>
      <c r="E358" s="635" t="s">
        <v>1494</v>
      </c>
      <c r="F358" s="465" t="s">
        <v>1845</v>
      </c>
      <c r="G358" s="466">
        <v>0.54</v>
      </c>
      <c r="H358" s="466">
        <v>0.401</v>
      </c>
      <c r="I358" s="467">
        <v>0.4</v>
      </c>
      <c r="J358" s="468">
        <v>0.001</v>
      </c>
    </row>
    <row r="359" spans="1:10" ht="12.75" outlineLevel="2">
      <c r="A359" s="645">
        <v>2140218039</v>
      </c>
      <c r="B359" s="635" t="s">
        <v>338</v>
      </c>
      <c r="C359" s="635" t="s">
        <v>2189</v>
      </c>
      <c r="D359" s="635"/>
      <c r="E359" s="635" t="s">
        <v>1494</v>
      </c>
      <c r="F359" s="465" t="s">
        <v>1845</v>
      </c>
      <c r="G359" s="466">
        <v>1.4</v>
      </c>
      <c r="H359" s="466">
        <v>1.003</v>
      </c>
      <c r="I359" s="467">
        <v>1.001</v>
      </c>
      <c r="J359" s="468">
        <v>0.002</v>
      </c>
    </row>
    <row r="360" spans="1:10" ht="12.75" outlineLevel="2">
      <c r="A360" s="645">
        <v>2140218040</v>
      </c>
      <c r="B360" s="635" t="s">
        <v>2195</v>
      </c>
      <c r="C360" s="635" t="s">
        <v>2189</v>
      </c>
      <c r="D360" s="635"/>
      <c r="E360" s="635" t="s">
        <v>1494</v>
      </c>
      <c r="F360" s="465" t="s">
        <v>96</v>
      </c>
      <c r="G360" s="466">
        <v>1.7</v>
      </c>
      <c r="H360" s="466">
        <v>1.69</v>
      </c>
      <c r="I360" s="467">
        <v>1.69</v>
      </c>
      <c r="J360" s="468">
        <v>0</v>
      </c>
    </row>
    <row r="361" spans="1:10" ht="12.75" outlineLevel="2">
      <c r="A361" s="645">
        <v>2140218041</v>
      </c>
      <c r="B361" s="635" t="s">
        <v>2196</v>
      </c>
      <c r="C361" s="635" t="s">
        <v>2189</v>
      </c>
      <c r="D361" s="635"/>
      <c r="E361" s="635" t="s">
        <v>1494</v>
      </c>
      <c r="F361" s="465" t="s">
        <v>96</v>
      </c>
      <c r="G361" s="466">
        <v>0.06</v>
      </c>
      <c r="H361" s="466">
        <v>0.057</v>
      </c>
      <c r="I361" s="467">
        <v>0.056</v>
      </c>
      <c r="J361" s="468">
        <v>0.001</v>
      </c>
    </row>
    <row r="362" spans="1:10" ht="12.75" outlineLevel="2">
      <c r="A362" s="645">
        <v>2140218042</v>
      </c>
      <c r="B362" s="635" t="s">
        <v>2197</v>
      </c>
      <c r="C362" s="635" t="s">
        <v>2189</v>
      </c>
      <c r="D362" s="635"/>
      <c r="E362" s="635" t="s">
        <v>1494</v>
      </c>
      <c r="F362" s="465" t="s">
        <v>1845</v>
      </c>
      <c r="G362" s="466">
        <v>0.027</v>
      </c>
      <c r="H362" s="466">
        <v>0.128</v>
      </c>
      <c r="I362" s="467">
        <v>0.127</v>
      </c>
      <c r="J362" s="468">
        <v>0.001</v>
      </c>
    </row>
    <row r="363" spans="1:10" ht="12.75" outlineLevel="2">
      <c r="A363" s="645">
        <v>2140218043</v>
      </c>
      <c r="B363" s="635" t="s">
        <v>584</v>
      </c>
      <c r="C363" s="635" t="s">
        <v>2198</v>
      </c>
      <c r="D363" s="635"/>
      <c r="E363" s="635" t="s">
        <v>1494</v>
      </c>
      <c r="F363" s="465" t="s">
        <v>1845</v>
      </c>
      <c r="G363" s="466">
        <v>0.28</v>
      </c>
      <c r="H363" s="466">
        <v>0.45</v>
      </c>
      <c r="I363" s="467">
        <v>0.449</v>
      </c>
      <c r="J363" s="468">
        <v>0.001</v>
      </c>
    </row>
    <row r="364" spans="1:10" ht="12.75" outlineLevel="2">
      <c r="A364" s="645">
        <v>2140218044</v>
      </c>
      <c r="B364" s="635" t="s">
        <v>2199</v>
      </c>
      <c r="C364" s="635" t="s">
        <v>2198</v>
      </c>
      <c r="D364" s="635"/>
      <c r="E364" s="635" t="s">
        <v>1494</v>
      </c>
      <c r="F364" s="465" t="s">
        <v>1845</v>
      </c>
      <c r="G364" s="466">
        <v>0.203</v>
      </c>
      <c r="H364" s="466">
        <v>0.203</v>
      </c>
      <c r="I364" s="467">
        <v>0.202</v>
      </c>
      <c r="J364" s="468">
        <v>0.001</v>
      </c>
    </row>
    <row r="365" spans="1:10" ht="12.75" outlineLevel="2">
      <c r="A365" s="645">
        <v>2140218045</v>
      </c>
      <c r="B365" s="635" t="s">
        <v>2200</v>
      </c>
      <c r="C365" s="635" t="s">
        <v>2198</v>
      </c>
      <c r="D365" s="635"/>
      <c r="E365" s="635" t="s">
        <v>1494</v>
      </c>
      <c r="F365" s="465" t="s">
        <v>1845</v>
      </c>
      <c r="G365" s="466">
        <v>0.18</v>
      </c>
      <c r="H365" s="466">
        <v>0.15</v>
      </c>
      <c r="I365" s="467">
        <v>0.15</v>
      </c>
      <c r="J365" s="468">
        <v>0</v>
      </c>
    </row>
    <row r="366" spans="1:10" ht="12.75" outlineLevel="2">
      <c r="A366" s="645">
        <v>2140218046</v>
      </c>
      <c r="B366" s="635" t="s">
        <v>2201</v>
      </c>
      <c r="C366" s="635" t="s">
        <v>2198</v>
      </c>
      <c r="D366" s="635"/>
      <c r="E366" s="635" t="s">
        <v>1494</v>
      </c>
      <c r="F366" s="465" t="s">
        <v>1845</v>
      </c>
      <c r="G366" s="466">
        <v>0.25</v>
      </c>
      <c r="H366" s="466">
        <v>0.108</v>
      </c>
      <c r="I366" s="467">
        <v>0.101</v>
      </c>
      <c r="J366" s="468">
        <v>0.007</v>
      </c>
    </row>
    <row r="367" spans="1:10" ht="12.75" outlineLevel="2">
      <c r="A367" s="645">
        <v>2140218047</v>
      </c>
      <c r="B367" s="635" t="s">
        <v>557</v>
      </c>
      <c r="C367" s="635" t="s">
        <v>2198</v>
      </c>
      <c r="D367" s="635"/>
      <c r="E367" s="635" t="s">
        <v>1494</v>
      </c>
      <c r="F367" s="465" t="s">
        <v>1845</v>
      </c>
      <c r="G367" s="466">
        <v>0.06</v>
      </c>
      <c r="H367" s="466">
        <v>0.036</v>
      </c>
      <c r="I367" s="467">
        <v>0.034</v>
      </c>
      <c r="J367" s="468">
        <v>0.002</v>
      </c>
    </row>
    <row r="368" spans="1:10" ht="12.75" outlineLevel="2">
      <c r="A368" s="645">
        <v>2140218048</v>
      </c>
      <c r="B368" s="635" t="s">
        <v>2202</v>
      </c>
      <c r="C368" s="635" t="s">
        <v>2198</v>
      </c>
      <c r="D368" s="635"/>
      <c r="E368" s="635" t="s">
        <v>1494</v>
      </c>
      <c r="F368" s="465" t="s">
        <v>1845</v>
      </c>
      <c r="G368" s="466">
        <v>0.135</v>
      </c>
      <c r="H368" s="466">
        <v>0.085</v>
      </c>
      <c r="I368" s="467">
        <v>0.084</v>
      </c>
      <c r="J368" s="468">
        <v>0.001</v>
      </c>
    </row>
    <row r="369" spans="1:10" ht="12.75" outlineLevel="2">
      <c r="A369" s="645">
        <v>2140218049</v>
      </c>
      <c r="B369" s="635" t="s">
        <v>2203</v>
      </c>
      <c r="C369" s="635" t="s">
        <v>2198</v>
      </c>
      <c r="D369" s="635"/>
      <c r="E369" s="635" t="s">
        <v>1494</v>
      </c>
      <c r="F369" s="465" t="s">
        <v>1845</v>
      </c>
      <c r="G369" s="466">
        <v>0.32</v>
      </c>
      <c r="H369" s="466">
        <v>0.15</v>
      </c>
      <c r="I369" s="467">
        <v>0.15</v>
      </c>
      <c r="J369" s="468">
        <v>0</v>
      </c>
    </row>
    <row r="370" spans="1:10" ht="12.75" outlineLevel="2">
      <c r="A370" s="645">
        <v>2140218050</v>
      </c>
      <c r="B370" s="635" t="s">
        <v>2204</v>
      </c>
      <c r="C370" s="635" t="s">
        <v>2198</v>
      </c>
      <c r="D370" s="635"/>
      <c r="E370" s="635" t="s">
        <v>1533</v>
      </c>
      <c r="F370" s="465" t="s">
        <v>96</v>
      </c>
      <c r="G370" s="466">
        <v>0.15</v>
      </c>
      <c r="H370" s="466">
        <v>0</v>
      </c>
      <c r="I370" s="467">
        <v>0</v>
      </c>
      <c r="J370" s="468">
        <v>0</v>
      </c>
    </row>
    <row r="371" spans="1:10" ht="12.75" outlineLevel="2">
      <c r="A371" s="645">
        <v>2140218051</v>
      </c>
      <c r="B371" s="635" t="s">
        <v>2205</v>
      </c>
      <c r="C371" s="635" t="s">
        <v>2198</v>
      </c>
      <c r="D371" s="635"/>
      <c r="E371" s="635" t="s">
        <v>1533</v>
      </c>
      <c r="F371" s="465" t="s">
        <v>96</v>
      </c>
      <c r="G371" s="466">
        <v>0.15</v>
      </c>
      <c r="H371" s="466">
        <v>0</v>
      </c>
      <c r="I371" s="467">
        <v>0</v>
      </c>
      <c r="J371" s="468">
        <v>0</v>
      </c>
    </row>
    <row r="372" spans="1:10" ht="12.75" outlineLevel="2">
      <c r="A372" s="645">
        <v>2140218052</v>
      </c>
      <c r="B372" s="635" t="s">
        <v>2206</v>
      </c>
      <c r="C372" s="635" t="s">
        <v>2198</v>
      </c>
      <c r="D372" s="635"/>
      <c r="E372" s="635" t="s">
        <v>1494</v>
      </c>
      <c r="F372" s="465" t="s">
        <v>96</v>
      </c>
      <c r="G372" s="466">
        <v>0.2</v>
      </c>
      <c r="H372" s="466">
        <v>0.2</v>
      </c>
      <c r="I372" s="467">
        <v>0.199</v>
      </c>
      <c r="J372" s="468">
        <v>0.001</v>
      </c>
    </row>
    <row r="373" spans="1:10" ht="12.75" outlineLevel="2">
      <c r="A373" s="645">
        <v>2140218053</v>
      </c>
      <c r="B373" s="635" t="s">
        <v>2207</v>
      </c>
      <c r="C373" s="635" t="s">
        <v>2198</v>
      </c>
      <c r="D373" s="635"/>
      <c r="E373" s="635" t="s">
        <v>1494</v>
      </c>
      <c r="F373" s="465" t="s">
        <v>96</v>
      </c>
      <c r="G373" s="466">
        <v>0.06</v>
      </c>
      <c r="H373" s="466">
        <v>0.055</v>
      </c>
      <c r="I373" s="467">
        <v>0.054</v>
      </c>
      <c r="J373" s="468">
        <v>0.001</v>
      </c>
    </row>
    <row r="374" spans="1:10" ht="12.75" outlineLevel="2">
      <c r="A374" s="645">
        <v>2140218054</v>
      </c>
      <c r="B374" s="635" t="s">
        <v>2208</v>
      </c>
      <c r="C374" s="635" t="s">
        <v>2209</v>
      </c>
      <c r="D374" s="635"/>
      <c r="E374" s="635" t="s">
        <v>1494</v>
      </c>
      <c r="F374" s="465" t="s">
        <v>1845</v>
      </c>
      <c r="G374" s="466">
        <v>0.09</v>
      </c>
      <c r="H374" s="466">
        <v>0.09</v>
      </c>
      <c r="I374" s="467">
        <v>0.089</v>
      </c>
      <c r="J374" s="468">
        <v>0.001</v>
      </c>
    </row>
    <row r="375" spans="1:10" ht="12.75" outlineLevel="2">
      <c r="A375" s="645">
        <v>2140218055</v>
      </c>
      <c r="B375" s="635" t="s">
        <v>2210</v>
      </c>
      <c r="C375" s="635" t="s">
        <v>2209</v>
      </c>
      <c r="D375" s="635"/>
      <c r="E375" s="635" t="s">
        <v>1494</v>
      </c>
      <c r="F375" s="465" t="s">
        <v>1845</v>
      </c>
      <c r="G375" s="466">
        <v>0.16</v>
      </c>
      <c r="H375" s="466">
        <v>0.115</v>
      </c>
      <c r="I375" s="467">
        <v>0.113</v>
      </c>
      <c r="J375" s="468">
        <v>0.002</v>
      </c>
    </row>
    <row r="376" spans="1:10" ht="12.75" outlineLevel="2">
      <c r="A376" s="645">
        <v>2140218056</v>
      </c>
      <c r="B376" s="635" t="s">
        <v>2211</v>
      </c>
      <c r="C376" s="635" t="s">
        <v>2209</v>
      </c>
      <c r="D376" s="635"/>
      <c r="E376" s="635" t="s">
        <v>1494</v>
      </c>
      <c r="F376" s="465" t="s">
        <v>1845</v>
      </c>
      <c r="G376" s="466">
        <v>0.055</v>
      </c>
      <c r="H376" s="466">
        <v>0.055</v>
      </c>
      <c r="I376" s="467">
        <v>0.055</v>
      </c>
      <c r="J376" s="468">
        <v>0</v>
      </c>
    </row>
    <row r="377" spans="1:10" ht="12.75" outlineLevel="2">
      <c r="A377" s="645">
        <v>2140218057</v>
      </c>
      <c r="B377" s="635" t="s">
        <v>2212</v>
      </c>
      <c r="C377" s="635" t="s">
        <v>2209</v>
      </c>
      <c r="D377" s="635"/>
      <c r="E377" s="635" t="s">
        <v>1494</v>
      </c>
      <c r="F377" s="465" t="s">
        <v>1845</v>
      </c>
      <c r="G377" s="466">
        <v>0.13</v>
      </c>
      <c r="H377" s="466">
        <v>0.095</v>
      </c>
      <c r="I377" s="467">
        <v>0.095</v>
      </c>
      <c r="J377" s="468">
        <v>0</v>
      </c>
    </row>
    <row r="378" spans="1:10" ht="12.75" outlineLevel="2">
      <c r="A378" s="645">
        <v>2140218058</v>
      </c>
      <c r="B378" s="635" t="s">
        <v>2213</v>
      </c>
      <c r="C378" s="635" t="s">
        <v>1588</v>
      </c>
      <c r="D378" s="635"/>
      <c r="E378" s="635" t="s">
        <v>1494</v>
      </c>
      <c r="F378" s="465" t="s">
        <v>1845</v>
      </c>
      <c r="G378" s="466">
        <v>0.36</v>
      </c>
      <c r="H378" s="466">
        <v>0.089</v>
      </c>
      <c r="I378" s="467">
        <v>0.089</v>
      </c>
      <c r="J378" s="468">
        <v>0</v>
      </c>
    </row>
    <row r="379" spans="1:10" ht="12.75" outlineLevel="2">
      <c r="A379" s="645">
        <v>2140218059</v>
      </c>
      <c r="B379" s="635" t="s">
        <v>2214</v>
      </c>
      <c r="C379" s="635" t="s">
        <v>1588</v>
      </c>
      <c r="D379" s="635"/>
      <c r="E379" s="635" t="s">
        <v>1494</v>
      </c>
      <c r="F379" s="465" t="s">
        <v>1845</v>
      </c>
      <c r="G379" s="466">
        <v>0.14</v>
      </c>
      <c r="H379" s="466">
        <v>0.103</v>
      </c>
      <c r="I379" s="467">
        <v>0.102</v>
      </c>
      <c r="J379" s="468">
        <v>0.001</v>
      </c>
    </row>
    <row r="380" spans="1:10" ht="12.75" outlineLevel="2">
      <c r="A380" s="645">
        <v>2140218060</v>
      </c>
      <c r="B380" s="635" t="s">
        <v>2215</v>
      </c>
      <c r="C380" s="635" t="s">
        <v>1588</v>
      </c>
      <c r="D380" s="635"/>
      <c r="E380" s="635" t="s">
        <v>1494</v>
      </c>
      <c r="F380" s="465" t="s">
        <v>1845</v>
      </c>
      <c r="G380" s="466">
        <v>0</v>
      </c>
      <c r="H380" s="466">
        <v>0.232</v>
      </c>
      <c r="I380" s="467">
        <v>0.232</v>
      </c>
      <c r="J380" s="468">
        <v>0</v>
      </c>
    </row>
    <row r="381" spans="1:10" ht="12.75" outlineLevel="2">
      <c r="A381" s="645">
        <v>2140218061</v>
      </c>
      <c r="B381" s="635" t="s">
        <v>2216</v>
      </c>
      <c r="C381" s="635" t="s">
        <v>581</v>
      </c>
      <c r="D381" s="635"/>
      <c r="E381" s="635" t="s">
        <v>1494</v>
      </c>
      <c r="F381" s="465" t="s">
        <v>1845</v>
      </c>
      <c r="G381" s="466">
        <v>0</v>
      </c>
      <c r="H381" s="466">
        <v>0.24</v>
      </c>
      <c r="I381" s="467">
        <v>0.24</v>
      </c>
      <c r="J381" s="468">
        <v>0</v>
      </c>
    </row>
    <row r="382" spans="1:10" ht="12.75" outlineLevel="2">
      <c r="A382" s="645">
        <v>2140218062</v>
      </c>
      <c r="B382" s="635" t="s">
        <v>2217</v>
      </c>
      <c r="C382" s="635" t="s">
        <v>2189</v>
      </c>
      <c r="D382" s="635"/>
      <c r="E382" s="635" t="s">
        <v>1494</v>
      </c>
      <c r="F382" s="465" t="s">
        <v>96</v>
      </c>
      <c r="G382" s="466">
        <v>0</v>
      </c>
      <c r="H382" s="466">
        <v>0.047</v>
      </c>
      <c r="I382" s="467">
        <v>0.047</v>
      </c>
      <c r="J382" s="468">
        <v>0</v>
      </c>
    </row>
    <row r="383" spans="1:10" ht="12.75" outlineLevel="2">
      <c r="A383" s="645">
        <v>2140224029</v>
      </c>
      <c r="B383" s="635" t="s">
        <v>2218</v>
      </c>
      <c r="C383" s="635" t="s">
        <v>581</v>
      </c>
      <c r="D383" s="635"/>
      <c r="E383" s="635" t="s">
        <v>1494</v>
      </c>
      <c r="F383" s="465" t="s">
        <v>96</v>
      </c>
      <c r="G383" s="466">
        <v>1.4</v>
      </c>
      <c r="H383" s="466">
        <v>1.371</v>
      </c>
      <c r="I383" s="467">
        <v>1.371</v>
      </c>
      <c r="J383" s="468">
        <v>0</v>
      </c>
    </row>
    <row r="384" spans="1:10" ht="12.75" outlineLevel="2">
      <c r="A384" s="645">
        <v>2140226035</v>
      </c>
      <c r="B384" s="635" t="s">
        <v>2219</v>
      </c>
      <c r="C384" s="635" t="s">
        <v>2189</v>
      </c>
      <c r="D384" s="635"/>
      <c r="E384" s="635" t="s">
        <v>1494</v>
      </c>
      <c r="F384" s="465" t="s">
        <v>96</v>
      </c>
      <c r="G384" s="466">
        <v>8.627</v>
      </c>
      <c r="H384" s="466">
        <v>13.782</v>
      </c>
      <c r="I384" s="467">
        <v>13.781</v>
      </c>
      <c r="J384" s="468">
        <v>0.001</v>
      </c>
    </row>
    <row r="385" spans="1:10" ht="12.75" outlineLevel="2">
      <c r="A385" s="645">
        <v>2140226035</v>
      </c>
      <c r="B385" s="635" t="s">
        <v>2219</v>
      </c>
      <c r="C385" s="635" t="s">
        <v>2189</v>
      </c>
      <c r="D385" s="635"/>
      <c r="E385" s="635" t="s">
        <v>1494</v>
      </c>
      <c r="F385" s="465" t="s">
        <v>333</v>
      </c>
      <c r="G385" s="466">
        <v>0</v>
      </c>
      <c r="H385" s="466">
        <v>0</v>
      </c>
      <c r="I385" s="467">
        <v>19.513</v>
      </c>
      <c r="J385" s="468">
        <v>0</v>
      </c>
    </row>
    <row r="386" spans="1:10" ht="12.75" outlineLevel="2">
      <c r="A386" s="645">
        <v>2140227022</v>
      </c>
      <c r="B386" s="635" t="s">
        <v>2220</v>
      </c>
      <c r="C386" s="635" t="s">
        <v>575</v>
      </c>
      <c r="D386" s="635"/>
      <c r="E386" s="635" t="s">
        <v>1494</v>
      </c>
      <c r="F386" s="465" t="s">
        <v>96</v>
      </c>
      <c r="G386" s="466">
        <v>10.383</v>
      </c>
      <c r="H386" s="466">
        <v>18.432</v>
      </c>
      <c r="I386" s="467">
        <v>18.432</v>
      </c>
      <c r="J386" s="468">
        <v>0</v>
      </c>
    </row>
    <row r="387" spans="1:10" ht="12.75" outlineLevel="2">
      <c r="A387" s="645">
        <v>2140227046</v>
      </c>
      <c r="B387" s="635" t="s">
        <v>2221</v>
      </c>
      <c r="C387" s="635" t="s">
        <v>581</v>
      </c>
      <c r="D387" s="635"/>
      <c r="E387" s="635" t="s">
        <v>1494</v>
      </c>
      <c r="F387" s="465" t="s">
        <v>96</v>
      </c>
      <c r="G387" s="466">
        <v>0.65</v>
      </c>
      <c r="H387" s="466">
        <v>0.275</v>
      </c>
      <c r="I387" s="467">
        <v>0.274</v>
      </c>
      <c r="J387" s="468">
        <v>0.001</v>
      </c>
    </row>
    <row r="388" spans="1:10" ht="12.75" outlineLevel="2">
      <c r="A388" s="645">
        <v>2140228001</v>
      </c>
      <c r="B388" s="635" t="s">
        <v>2222</v>
      </c>
      <c r="C388" s="635" t="s">
        <v>838</v>
      </c>
      <c r="D388" s="635"/>
      <c r="E388" s="635" t="s">
        <v>1533</v>
      </c>
      <c r="F388" s="465" t="s">
        <v>96</v>
      </c>
      <c r="G388" s="466">
        <v>2.5</v>
      </c>
      <c r="H388" s="466">
        <v>0</v>
      </c>
      <c r="I388" s="467">
        <v>0</v>
      </c>
      <c r="J388" s="468">
        <v>0</v>
      </c>
    </row>
    <row r="389" spans="1:10" ht="12.75" outlineLevel="2">
      <c r="A389" s="645">
        <v>2140228002</v>
      </c>
      <c r="B389" s="635" t="s">
        <v>2223</v>
      </c>
      <c r="C389" s="635" t="s">
        <v>838</v>
      </c>
      <c r="D389" s="635"/>
      <c r="E389" s="635" t="s">
        <v>1533</v>
      </c>
      <c r="F389" s="465" t="s">
        <v>96</v>
      </c>
      <c r="G389" s="466">
        <v>0.124</v>
      </c>
      <c r="H389" s="466">
        <v>0</v>
      </c>
      <c r="I389" s="467">
        <v>0</v>
      </c>
      <c r="J389" s="468">
        <v>0</v>
      </c>
    </row>
    <row r="390" spans="1:10" ht="12.75" outlineLevel="2">
      <c r="A390" s="645">
        <v>2140228003</v>
      </c>
      <c r="B390" s="635" t="s">
        <v>2224</v>
      </c>
      <c r="C390" s="635" t="s">
        <v>838</v>
      </c>
      <c r="D390" s="635"/>
      <c r="E390" s="635" t="s">
        <v>1533</v>
      </c>
      <c r="F390" s="465" t="s">
        <v>96</v>
      </c>
      <c r="G390" s="466">
        <v>0.7</v>
      </c>
      <c r="H390" s="466">
        <v>0</v>
      </c>
      <c r="I390" s="467">
        <v>0</v>
      </c>
      <c r="J390" s="468">
        <v>0</v>
      </c>
    </row>
    <row r="391" spans="1:10" ht="12.75" outlineLevel="2">
      <c r="A391" s="645">
        <v>2140228004</v>
      </c>
      <c r="B391" s="635" t="s">
        <v>2225</v>
      </c>
      <c r="C391" s="635" t="s">
        <v>838</v>
      </c>
      <c r="D391" s="635"/>
      <c r="E391" s="635" t="s">
        <v>1494</v>
      </c>
      <c r="F391" s="465" t="s">
        <v>1845</v>
      </c>
      <c r="G391" s="466">
        <v>7</v>
      </c>
      <c r="H391" s="466">
        <v>4.534</v>
      </c>
      <c r="I391" s="467">
        <v>4.534</v>
      </c>
      <c r="J391" s="468">
        <v>0</v>
      </c>
    </row>
    <row r="392" spans="1:10" ht="12.75" outlineLevel="2">
      <c r="A392" s="645">
        <v>2140228005</v>
      </c>
      <c r="B392" s="635" t="s">
        <v>2226</v>
      </c>
      <c r="C392" s="635" t="s">
        <v>838</v>
      </c>
      <c r="D392" s="635"/>
      <c r="E392" s="635" t="s">
        <v>1494</v>
      </c>
      <c r="F392" s="465" t="s">
        <v>1845</v>
      </c>
      <c r="G392" s="466">
        <v>6.404</v>
      </c>
      <c r="H392" s="466">
        <v>6.13</v>
      </c>
      <c r="I392" s="467">
        <v>6.129</v>
      </c>
      <c r="J392" s="468">
        <v>0.001</v>
      </c>
    </row>
    <row r="393" spans="1:10" ht="12.75" outlineLevel="2">
      <c r="A393" s="645">
        <v>2140228006</v>
      </c>
      <c r="B393" s="635" t="s">
        <v>2227</v>
      </c>
      <c r="C393" s="635" t="s">
        <v>559</v>
      </c>
      <c r="D393" s="635"/>
      <c r="E393" s="635" t="s">
        <v>1494</v>
      </c>
      <c r="F393" s="465" t="s">
        <v>96</v>
      </c>
      <c r="G393" s="466">
        <v>0.24</v>
      </c>
      <c r="H393" s="466">
        <v>0.228</v>
      </c>
      <c r="I393" s="467">
        <v>0.227</v>
      </c>
      <c r="J393" s="468">
        <v>0.001</v>
      </c>
    </row>
    <row r="394" spans="1:10" ht="12.75" outlineLevel="2">
      <c r="A394" s="645">
        <v>2140228007</v>
      </c>
      <c r="B394" s="635" t="s">
        <v>2228</v>
      </c>
      <c r="C394" s="635" t="s">
        <v>559</v>
      </c>
      <c r="D394" s="635"/>
      <c r="E394" s="635" t="s">
        <v>1494</v>
      </c>
      <c r="F394" s="465" t="s">
        <v>96</v>
      </c>
      <c r="G394" s="466">
        <v>0.28</v>
      </c>
      <c r="H394" s="466">
        <v>0.273</v>
      </c>
      <c r="I394" s="467">
        <v>0.272</v>
      </c>
      <c r="J394" s="468">
        <v>0.001</v>
      </c>
    </row>
    <row r="395" spans="1:10" ht="12.75" outlineLevel="2">
      <c r="A395" s="645">
        <v>2140228008</v>
      </c>
      <c r="B395" s="635" t="s">
        <v>2229</v>
      </c>
      <c r="C395" s="635" t="s">
        <v>559</v>
      </c>
      <c r="D395" s="635"/>
      <c r="E395" s="635" t="s">
        <v>1494</v>
      </c>
      <c r="F395" s="465" t="s">
        <v>96</v>
      </c>
      <c r="G395" s="466">
        <v>0.08</v>
      </c>
      <c r="H395" s="466">
        <v>0.101</v>
      </c>
      <c r="I395" s="467">
        <v>0.101</v>
      </c>
      <c r="J395" s="468">
        <v>0</v>
      </c>
    </row>
    <row r="396" spans="1:10" ht="12.75" outlineLevel="2">
      <c r="A396" s="645">
        <v>2140228009</v>
      </c>
      <c r="B396" s="635" t="s">
        <v>2230</v>
      </c>
      <c r="C396" s="635" t="s">
        <v>559</v>
      </c>
      <c r="D396" s="635"/>
      <c r="E396" s="635" t="s">
        <v>1494</v>
      </c>
      <c r="F396" s="465" t="s">
        <v>96</v>
      </c>
      <c r="G396" s="466">
        <v>0.06</v>
      </c>
      <c r="H396" s="466">
        <v>0.059</v>
      </c>
      <c r="I396" s="467">
        <v>0.058</v>
      </c>
      <c r="J396" s="468">
        <v>0.001</v>
      </c>
    </row>
    <row r="397" spans="1:10" ht="12.75" outlineLevel="2">
      <c r="A397" s="645">
        <v>2140228010</v>
      </c>
      <c r="B397" s="635" t="s">
        <v>2231</v>
      </c>
      <c r="C397" s="635" t="s">
        <v>559</v>
      </c>
      <c r="D397" s="635"/>
      <c r="E397" s="635" t="s">
        <v>1533</v>
      </c>
      <c r="F397" s="465" t="s">
        <v>96</v>
      </c>
      <c r="G397" s="466">
        <v>0.75</v>
      </c>
      <c r="H397" s="466">
        <v>0</v>
      </c>
      <c r="I397" s="467">
        <v>0</v>
      </c>
      <c r="J397" s="468">
        <v>0</v>
      </c>
    </row>
    <row r="398" spans="1:10" ht="12.75" outlineLevel="2">
      <c r="A398" s="645">
        <v>2140228011</v>
      </c>
      <c r="B398" s="635" t="s">
        <v>2232</v>
      </c>
      <c r="C398" s="635" t="s">
        <v>559</v>
      </c>
      <c r="D398" s="635"/>
      <c r="E398" s="635" t="s">
        <v>1533</v>
      </c>
      <c r="F398" s="465" t="s">
        <v>96</v>
      </c>
      <c r="G398" s="466">
        <v>0.25</v>
      </c>
      <c r="H398" s="466">
        <v>0</v>
      </c>
      <c r="I398" s="467">
        <v>0</v>
      </c>
      <c r="J398" s="468">
        <v>0</v>
      </c>
    </row>
    <row r="399" spans="1:10" ht="12.75" outlineLevel="2">
      <c r="A399" s="645">
        <v>2140228012</v>
      </c>
      <c r="B399" s="635" t="s">
        <v>2226</v>
      </c>
      <c r="C399" s="635" t="s">
        <v>559</v>
      </c>
      <c r="D399" s="635"/>
      <c r="E399" s="635" t="s">
        <v>1494</v>
      </c>
      <c r="F399" s="465" t="s">
        <v>1845</v>
      </c>
      <c r="G399" s="466">
        <v>1.279</v>
      </c>
      <c r="H399" s="466">
        <v>1.479</v>
      </c>
      <c r="I399" s="467">
        <v>1.475</v>
      </c>
      <c r="J399" s="468">
        <v>0.004</v>
      </c>
    </row>
    <row r="400" spans="1:10" ht="12.75" outlineLevel="2">
      <c r="A400" s="645">
        <v>2140228013</v>
      </c>
      <c r="B400" s="635" t="s">
        <v>2225</v>
      </c>
      <c r="C400" s="635" t="s">
        <v>559</v>
      </c>
      <c r="D400" s="635"/>
      <c r="E400" s="635" t="s">
        <v>1494</v>
      </c>
      <c r="F400" s="465" t="s">
        <v>1845</v>
      </c>
      <c r="G400" s="466">
        <v>7.338</v>
      </c>
      <c r="H400" s="466">
        <v>7.049</v>
      </c>
      <c r="I400" s="467">
        <v>7.047</v>
      </c>
      <c r="J400" s="468">
        <v>0.002</v>
      </c>
    </row>
    <row r="401" spans="1:10" ht="12.75" outlineLevel="2">
      <c r="A401" s="645">
        <v>2140228014</v>
      </c>
      <c r="B401" s="635" t="s">
        <v>1850</v>
      </c>
      <c r="C401" s="635" t="s">
        <v>569</v>
      </c>
      <c r="D401" s="635"/>
      <c r="E401" s="635" t="s">
        <v>1494</v>
      </c>
      <c r="F401" s="465" t="s">
        <v>1845</v>
      </c>
      <c r="G401" s="466">
        <v>1.67</v>
      </c>
      <c r="H401" s="466">
        <v>4.25</v>
      </c>
      <c r="I401" s="467">
        <v>4.25</v>
      </c>
      <c r="J401" s="468">
        <v>0</v>
      </c>
    </row>
    <row r="402" spans="1:10" ht="12.75" outlineLevel="2">
      <c r="A402" s="645">
        <v>2140228015</v>
      </c>
      <c r="B402" s="635" t="s">
        <v>1851</v>
      </c>
      <c r="C402" s="635" t="s">
        <v>569</v>
      </c>
      <c r="D402" s="635"/>
      <c r="E402" s="635" t="s">
        <v>1494</v>
      </c>
      <c r="F402" s="465" t="s">
        <v>1845</v>
      </c>
      <c r="G402" s="466">
        <v>6.366</v>
      </c>
      <c r="H402" s="466">
        <v>6.933</v>
      </c>
      <c r="I402" s="467">
        <v>6.933</v>
      </c>
      <c r="J402" s="468">
        <v>0</v>
      </c>
    </row>
    <row r="403" spans="1:10" ht="12.75" outlineLevel="2">
      <c r="A403" s="645">
        <v>2140228016</v>
      </c>
      <c r="B403" s="635" t="s">
        <v>2233</v>
      </c>
      <c r="C403" s="635" t="s">
        <v>569</v>
      </c>
      <c r="D403" s="635"/>
      <c r="E403" s="635" t="s">
        <v>1494</v>
      </c>
      <c r="F403" s="465" t="s">
        <v>96</v>
      </c>
      <c r="G403" s="466">
        <v>0.06</v>
      </c>
      <c r="H403" s="466">
        <v>0.042</v>
      </c>
      <c r="I403" s="467">
        <v>0.042</v>
      </c>
      <c r="J403" s="468">
        <v>0</v>
      </c>
    </row>
    <row r="404" spans="1:10" ht="12.75" outlineLevel="2">
      <c r="A404" s="645">
        <v>2140228017</v>
      </c>
      <c r="B404" s="635" t="s">
        <v>2234</v>
      </c>
      <c r="C404" s="635" t="s">
        <v>569</v>
      </c>
      <c r="D404" s="635"/>
      <c r="E404" s="635" t="s">
        <v>1494</v>
      </c>
      <c r="F404" s="465" t="s">
        <v>96</v>
      </c>
      <c r="G404" s="466">
        <v>0.055</v>
      </c>
      <c r="H404" s="466">
        <v>0.047</v>
      </c>
      <c r="I404" s="467">
        <v>0.046</v>
      </c>
      <c r="J404" s="468">
        <v>0.001</v>
      </c>
    </row>
    <row r="405" spans="1:10" ht="12.75" outlineLevel="2">
      <c r="A405" s="645">
        <v>2140228018</v>
      </c>
      <c r="B405" s="635" t="s">
        <v>2235</v>
      </c>
      <c r="C405" s="635" t="s">
        <v>569</v>
      </c>
      <c r="D405" s="635"/>
      <c r="E405" s="635" t="s">
        <v>1494</v>
      </c>
      <c r="F405" s="465" t="s">
        <v>96</v>
      </c>
      <c r="G405" s="466">
        <v>0.27</v>
      </c>
      <c r="H405" s="466">
        <v>0.252</v>
      </c>
      <c r="I405" s="467">
        <v>0.252</v>
      </c>
      <c r="J405" s="468">
        <v>0</v>
      </c>
    </row>
    <row r="406" spans="1:10" ht="12.75" outlineLevel="2">
      <c r="A406" s="645">
        <v>2140228019</v>
      </c>
      <c r="B406" s="635" t="s">
        <v>2236</v>
      </c>
      <c r="C406" s="635" t="s">
        <v>569</v>
      </c>
      <c r="D406" s="635"/>
      <c r="E406" s="635" t="s">
        <v>1494</v>
      </c>
      <c r="F406" s="465" t="s">
        <v>96</v>
      </c>
      <c r="G406" s="466">
        <v>0.14</v>
      </c>
      <c r="H406" s="466">
        <v>0.252</v>
      </c>
      <c r="I406" s="467">
        <v>0.252</v>
      </c>
      <c r="J406" s="468">
        <v>0</v>
      </c>
    </row>
    <row r="407" spans="1:10" ht="12.75" outlineLevel="2">
      <c r="A407" s="645">
        <v>2140228020</v>
      </c>
      <c r="B407" s="635" t="s">
        <v>2237</v>
      </c>
      <c r="C407" s="635" t="s">
        <v>569</v>
      </c>
      <c r="D407" s="635"/>
      <c r="E407" s="635" t="s">
        <v>1494</v>
      </c>
      <c r="F407" s="465" t="s">
        <v>96</v>
      </c>
      <c r="G407" s="466">
        <v>0.12</v>
      </c>
      <c r="H407" s="466">
        <v>0.094</v>
      </c>
      <c r="I407" s="467">
        <v>0.094</v>
      </c>
      <c r="J407" s="468">
        <v>0</v>
      </c>
    </row>
    <row r="408" spans="1:10" ht="12.75" outlineLevel="2">
      <c r="A408" s="645">
        <v>2140228021</v>
      </c>
      <c r="B408" s="635" t="s">
        <v>2238</v>
      </c>
      <c r="C408" s="635" t="s">
        <v>569</v>
      </c>
      <c r="D408" s="635"/>
      <c r="E408" s="635" t="s">
        <v>1494</v>
      </c>
      <c r="F408" s="465" t="s">
        <v>96</v>
      </c>
      <c r="G408" s="466">
        <v>0.5</v>
      </c>
      <c r="H408" s="466">
        <v>0.45</v>
      </c>
      <c r="I408" s="467">
        <v>0.449</v>
      </c>
      <c r="J408" s="468">
        <v>0.001</v>
      </c>
    </row>
    <row r="409" spans="1:10" ht="12.75" outlineLevel="2">
      <c r="A409" s="645">
        <v>2140228022</v>
      </c>
      <c r="B409" s="635" t="s">
        <v>2239</v>
      </c>
      <c r="C409" s="635" t="s">
        <v>575</v>
      </c>
      <c r="D409" s="635"/>
      <c r="E409" s="635" t="s">
        <v>1494</v>
      </c>
      <c r="F409" s="465" t="s">
        <v>96</v>
      </c>
      <c r="G409" s="466">
        <v>1.4</v>
      </c>
      <c r="H409" s="466">
        <v>1.062</v>
      </c>
      <c r="I409" s="467">
        <v>1.061</v>
      </c>
      <c r="J409" s="468">
        <v>0.001</v>
      </c>
    </row>
    <row r="410" spans="1:10" ht="12.75" outlineLevel="2">
      <c r="A410" s="645">
        <v>2140228023</v>
      </c>
      <c r="B410" s="635" t="s">
        <v>2240</v>
      </c>
      <c r="C410" s="635" t="s">
        <v>575</v>
      </c>
      <c r="D410" s="635"/>
      <c r="E410" s="635" t="s">
        <v>1494</v>
      </c>
      <c r="F410" s="465" t="s">
        <v>96</v>
      </c>
      <c r="G410" s="466">
        <v>0.16</v>
      </c>
      <c r="H410" s="466">
        <v>0.16</v>
      </c>
      <c r="I410" s="467">
        <v>0.16</v>
      </c>
      <c r="J410" s="468">
        <v>0</v>
      </c>
    </row>
    <row r="411" spans="1:10" ht="12.75" outlineLevel="2">
      <c r="A411" s="645">
        <v>2140228024</v>
      </c>
      <c r="B411" s="635" t="s">
        <v>2226</v>
      </c>
      <c r="C411" s="635" t="s">
        <v>575</v>
      </c>
      <c r="D411" s="635"/>
      <c r="E411" s="635" t="s">
        <v>1494</v>
      </c>
      <c r="F411" s="465" t="s">
        <v>1845</v>
      </c>
      <c r="G411" s="466">
        <v>0.61</v>
      </c>
      <c r="H411" s="466">
        <v>0.53</v>
      </c>
      <c r="I411" s="467">
        <v>0.53</v>
      </c>
      <c r="J411" s="468">
        <v>0</v>
      </c>
    </row>
    <row r="412" spans="1:10" ht="12.75" outlineLevel="2">
      <c r="A412" s="645">
        <v>2140228025</v>
      </c>
      <c r="B412" s="635" t="s">
        <v>2225</v>
      </c>
      <c r="C412" s="635" t="s">
        <v>575</v>
      </c>
      <c r="D412" s="635"/>
      <c r="E412" s="635" t="s">
        <v>1494</v>
      </c>
      <c r="F412" s="465" t="s">
        <v>1845</v>
      </c>
      <c r="G412" s="466">
        <v>0.551</v>
      </c>
      <c r="H412" s="466">
        <v>0.939</v>
      </c>
      <c r="I412" s="467">
        <v>0.939</v>
      </c>
      <c r="J412" s="468">
        <v>0</v>
      </c>
    </row>
    <row r="413" spans="1:10" ht="12.75" outlineLevel="2">
      <c r="A413" s="645">
        <v>2140228026</v>
      </c>
      <c r="B413" s="635" t="s">
        <v>2226</v>
      </c>
      <c r="C413" s="635" t="s">
        <v>581</v>
      </c>
      <c r="D413" s="635"/>
      <c r="E413" s="635" t="s">
        <v>1494</v>
      </c>
      <c r="F413" s="465" t="s">
        <v>1845</v>
      </c>
      <c r="G413" s="466">
        <v>0.3</v>
      </c>
      <c r="H413" s="466">
        <v>0.173</v>
      </c>
      <c r="I413" s="467">
        <v>0.172</v>
      </c>
      <c r="J413" s="468">
        <v>0.001</v>
      </c>
    </row>
    <row r="414" spans="1:10" ht="12.75" outlineLevel="2">
      <c r="A414" s="645">
        <v>2140228027</v>
      </c>
      <c r="B414" s="635" t="s">
        <v>2225</v>
      </c>
      <c r="C414" s="635" t="s">
        <v>581</v>
      </c>
      <c r="D414" s="635"/>
      <c r="E414" s="635" t="s">
        <v>1494</v>
      </c>
      <c r="F414" s="465" t="s">
        <v>1845</v>
      </c>
      <c r="G414" s="466">
        <v>3.77</v>
      </c>
      <c r="H414" s="466">
        <v>3.882</v>
      </c>
      <c r="I414" s="467">
        <v>3.882</v>
      </c>
      <c r="J414" s="468">
        <v>0</v>
      </c>
    </row>
    <row r="415" spans="1:10" ht="12.75" outlineLevel="2">
      <c r="A415" s="645">
        <v>2140228028</v>
      </c>
      <c r="B415" s="635" t="s">
        <v>2241</v>
      </c>
      <c r="C415" s="635" t="s">
        <v>581</v>
      </c>
      <c r="D415" s="635"/>
      <c r="E415" s="635" t="s">
        <v>1533</v>
      </c>
      <c r="F415" s="465" t="s">
        <v>96</v>
      </c>
      <c r="G415" s="466">
        <v>1.8</v>
      </c>
      <c r="H415" s="466">
        <v>0</v>
      </c>
      <c r="I415" s="467">
        <v>0</v>
      </c>
      <c r="J415" s="468">
        <v>0</v>
      </c>
    </row>
    <row r="416" spans="1:10" ht="12.75" outlineLevel="2">
      <c r="A416" s="645">
        <v>2140228029</v>
      </c>
      <c r="B416" s="635" t="s">
        <v>2242</v>
      </c>
      <c r="C416" s="635" t="s">
        <v>581</v>
      </c>
      <c r="D416" s="635"/>
      <c r="E416" s="635" t="s">
        <v>1533</v>
      </c>
      <c r="F416" s="465" t="s">
        <v>96</v>
      </c>
      <c r="G416" s="466">
        <v>1.4</v>
      </c>
      <c r="H416" s="466">
        <v>0</v>
      </c>
      <c r="I416" s="467">
        <v>0</v>
      </c>
      <c r="J416" s="468">
        <v>0</v>
      </c>
    </row>
    <row r="417" spans="1:10" ht="12.75" outlineLevel="2">
      <c r="A417" s="645">
        <v>2140228030</v>
      </c>
      <c r="B417" s="635" t="s">
        <v>2243</v>
      </c>
      <c r="C417" s="635" t="s">
        <v>581</v>
      </c>
      <c r="D417" s="635"/>
      <c r="E417" s="635" t="s">
        <v>1533</v>
      </c>
      <c r="F417" s="465" t="s">
        <v>96</v>
      </c>
      <c r="G417" s="466">
        <v>0.5</v>
      </c>
      <c r="H417" s="466">
        <v>0</v>
      </c>
      <c r="I417" s="467">
        <v>0</v>
      </c>
      <c r="J417" s="468">
        <v>0</v>
      </c>
    </row>
    <row r="418" spans="1:10" ht="12.75" outlineLevel="2">
      <c r="A418" s="645">
        <v>2140228031</v>
      </c>
      <c r="B418" s="635" t="s">
        <v>2244</v>
      </c>
      <c r="C418" s="635" t="s">
        <v>581</v>
      </c>
      <c r="D418" s="635"/>
      <c r="E418" s="635" t="s">
        <v>1533</v>
      </c>
      <c r="F418" s="465" t="s">
        <v>96</v>
      </c>
      <c r="G418" s="466">
        <v>1.5</v>
      </c>
      <c r="H418" s="466">
        <v>0</v>
      </c>
      <c r="I418" s="467">
        <v>0</v>
      </c>
      <c r="J418" s="468">
        <v>0</v>
      </c>
    </row>
    <row r="419" spans="1:10" ht="12.75" outlineLevel="2">
      <c r="A419" s="645">
        <v>2140228032</v>
      </c>
      <c r="B419" s="635" t="s">
        <v>2245</v>
      </c>
      <c r="C419" s="635" t="s">
        <v>581</v>
      </c>
      <c r="D419" s="635"/>
      <c r="E419" s="635" t="s">
        <v>1494</v>
      </c>
      <c r="F419" s="465" t="s">
        <v>96</v>
      </c>
      <c r="G419" s="466">
        <v>0.97</v>
      </c>
      <c r="H419" s="466">
        <v>1.27</v>
      </c>
      <c r="I419" s="467">
        <v>1.27</v>
      </c>
      <c r="J419" s="468">
        <v>0</v>
      </c>
    </row>
    <row r="420" spans="1:10" ht="12.75" outlineLevel="2">
      <c r="A420" s="645">
        <v>2140228033</v>
      </c>
      <c r="B420" s="635" t="s">
        <v>2246</v>
      </c>
      <c r="C420" s="635" t="s">
        <v>581</v>
      </c>
      <c r="D420" s="635"/>
      <c r="E420" s="635" t="s">
        <v>1494</v>
      </c>
      <c r="F420" s="465" t="s">
        <v>96</v>
      </c>
      <c r="G420" s="466">
        <v>0.113</v>
      </c>
      <c r="H420" s="466">
        <v>0.113</v>
      </c>
      <c r="I420" s="467">
        <v>0.113</v>
      </c>
      <c r="J420" s="468">
        <v>0</v>
      </c>
    </row>
    <row r="421" spans="1:10" ht="12.75" outlineLevel="2">
      <c r="A421" s="645">
        <v>2140228034</v>
      </c>
      <c r="B421" s="635" t="s">
        <v>2247</v>
      </c>
      <c r="C421" s="635" t="s">
        <v>581</v>
      </c>
      <c r="D421" s="635"/>
      <c r="E421" s="635" t="s">
        <v>1494</v>
      </c>
      <c r="F421" s="465" t="s">
        <v>96</v>
      </c>
      <c r="G421" s="466">
        <v>0.2</v>
      </c>
      <c r="H421" s="466">
        <v>0.198</v>
      </c>
      <c r="I421" s="467">
        <v>0.198</v>
      </c>
      <c r="J421" s="468">
        <v>0</v>
      </c>
    </row>
    <row r="422" spans="1:10" ht="12.75" outlineLevel="2">
      <c r="A422" s="645">
        <v>2140228035</v>
      </c>
      <c r="B422" s="635" t="s">
        <v>2248</v>
      </c>
      <c r="C422" s="635" t="s">
        <v>2189</v>
      </c>
      <c r="D422" s="635"/>
      <c r="E422" s="635" t="s">
        <v>1533</v>
      </c>
      <c r="F422" s="465" t="s">
        <v>96</v>
      </c>
      <c r="G422" s="466">
        <v>1</v>
      </c>
      <c r="H422" s="466">
        <v>0</v>
      </c>
      <c r="I422" s="467">
        <v>0</v>
      </c>
      <c r="J422" s="468">
        <v>0</v>
      </c>
    </row>
    <row r="423" spans="1:10" ht="12.75" outlineLevel="2">
      <c r="A423" s="645">
        <v>2140228036</v>
      </c>
      <c r="B423" s="635" t="s">
        <v>2249</v>
      </c>
      <c r="C423" s="635" t="s">
        <v>2189</v>
      </c>
      <c r="D423" s="635"/>
      <c r="E423" s="635" t="s">
        <v>1494</v>
      </c>
      <c r="F423" s="465" t="s">
        <v>96</v>
      </c>
      <c r="G423" s="466">
        <v>6</v>
      </c>
      <c r="H423" s="466">
        <v>4.921</v>
      </c>
      <c r="I423" s="467">
        <v>4.92</v>
      </c>
      <c r="J423" s="468">
        <v>0.001</v>
      </c>
    </row>
    <row r="424" spans="1:10" ht="12.75" outlineLevel="2">
      <c r="A424" s="645">
        <v>2140228037</v>
      </c>
      <c r="B424" s="635" t="s">
        <v>2250</v>
      </c>
      <c r="C424" s="635" t="s">
        <v>2189</v>
      </c>
      <c r="D424" s="635"/>
      <c r="E424" s="635" t="s">
        <v>1494</v>
      </c>
      <c r="F424" s="465" t="s">
        <v>96</v>
      </c>
      <c r="G424" s="466">
        <v>0.12</v>
      </c>
      <c r="H424" s="466">
        <v>0.122</v>
      </c>
      <c r="I424" s="467">
        <v>0.121</v>
      </c>
      <c r="J424" s="468">
        <v>0.001</v>
      </c>
    </row>
    <row r="425" spans="1:10" ht="12.75" outlineLevel="2">
      <c r="A425" s="645">
        <v>2140228038</v>
      </c>
      <c r="B425" s="635" t="s">
        <v>2226</v>
      </c>
      <c r="C425" s="635" t="s">
        <v>2189</v>
      </c>
      <c r="D425" s="635"/>
      <c r="E425" s="635" t="s">
        <v>1494</v>
      </c>
      <c r="F425" s="465" t="s">
        <v>1845</v>
      </c>
      <c r="G425" s="466">
        <v>1.6</v>
      </c>
      <c r="H425" s="466">
        <v>1.3</v>
      </c>
      <c r="I425" s="467">
        <v>1.299</v>
      </c>
      <c r="J425" s="468">
        <v>0.001</v>
      </c>
    </row>
    <row r="426" spans="1:10" ht="12.75" outlineLevel="2">
      <c r="A426" s="645">
        <v>2140228039</v>
      </c>
      <c r="B426" s="635" t="s">
        <v>2225</v>
      </c>
      <c r="C426" s="635" t="s">
        <v>2189</v>
      </c>
      <c r="D426" s="635"/>
      <c r="E426" s="635" t="s">
        <v>1494</v>
      </c>
      <c r="F426" s="465" t="s">
        <v>1845</v>
      </c>
      <c r="G426" s="466">
        <v>5.22</v>
      </c>
      <c r="H426" s="466">
        <v>5.22</v>
      </c>
      <c r="I426" s="467">
        <v>5.22</v>
      </c>
      <c r="J426" s="468">
        <v>0</v>
      </c>
    </row>
    <row r="427" spans="1:10" ht="12.75" outlineLevel="2">
      <c r="A427" s="645">
        <v>2140228040</v>
      </c>
      <c r="B427" s="635" t="s">
        <v>2251</v>
      </c>
      <c r="C427" s="635" t="s">
        <v>2189</v>
      </c>
      <c r="D427" s="635"/>
      <c r="E427" s="635" t="s">
        <v>1494</v>
      </c>
      <c r="F427" s="465" t="s">
        <v>96</v>
      </c>
      <c r="G427" s="466">
        <v>0.34</v>
      </c>
      <c r="H427" s="466">
        <v>1.076</v>
      </c>
      <c r="I427" s="467">
        <v>1.076</v>
      </c>
      <c r="J427" s="468">
        <v>0</v>
      </c>
    </row>
    <row r="428" spans="1:10" ht="12.75" outlineLevel="2">
      <c r="A428" s="645">
        <v>2140228041</v>
      </c>
      <c r="B428" s="635" t="s">
        <v>2252</v>
      </c>
      <c r="C428" s="635" t="s">
        <v>2189</v>
      </c>
      <c r="D428" s="635"/>
      <c r="E428" s="635" t="s">
        <v>1494</v>
      </c>
      <c r="F428" s="465" t="s">
        <v>96</v>
      </c>
      <c r="G428" s="466">
        <v>1.826</v>
      </c>
      <c r="H428" s="466">
        <v>2.115</v>
      </c>
      <c r="I428" s="467">
        <v>2.115</v>
      </c>
      <c r="J428" s="468">
        <v>0</v>
      </c>
    </row>
    <row r="429" spans="1:10" ht="12.75" outlineLevel="2">
      <c r="A429" s="645">
        <v>2140228042</v>
      </c>
      <c r="B429" s="635" t="s">
        <v>2253</v>
      </c>
      <c r="C429" s="635" t="s">
        <v>2189</v>
      </c>
      <c r="D429" s="635"/>
      <c r="E429" s="635" t="s">
        <v>1494</v>
      </c>
      <c r="F429" s="465" t="s">
        <v>96</v>
      </c>
      <c r="G429" s="466">
        <v>0.25</v>
      </c>
      <c r="H429" s="466">
        <v>0.227</v>
      </c>
      <c r="I429" s="467">
        <v>0.226</v>
      </c>
      <c r="J429" s="468">
        <v>0.001</v>
      </c>
    </row>
    <row r="430" spans="1:10" ht="12.75" outlineLevel="2">
      <c r="A430" s="645">
        <v>2140228043</v>
      </c>
      <c r="B430" s="635" t="s">
        <v>2254</v>
      </c>
      <c r="C430" s="635" t="s">
        <v>2189</v>
      </c>
      <c r="D430" s="635"/>
      <c r="E430" s="635" t="s">
        <v>1494</v>
      </c>
      <c r="F430" s="465" t="s">
        <v>96</v>
      </c>
      <c r="G430" s="466">
        <v>0.15</v>
      </c>
      <c r="H430" s="466">
        <v>0.141</v>
      </c>
      <c r="I430" s="467">
        <v>0.141</v>
      </c>
      <c r="J430" s="468">
        <v>0</v>
      </c>
    </row>
    <row r="431" spans="1:10" ht="12.75" outlineLevel="2">
      <c r="A431" s="645">
        <v>2140228044</v>
      </c>
      <c r="B431" s="635" t="s">
        <v>2255</v>
      </c>
      <c r="C431" s="635" t="s">
        <v>2189</v>
      </c>
      <c r="D431" s="635"/>
      <c r="E431" s="635" t="s">
        <v>1494</v>
      </c>
      <c r="F431" s="465" t="s">
        <v>96</v>
      </c>
      <c r="G431" s="466">
        <v>0.4</v>
      </c>
      <c r="H431" s="466">
        <v>0.399</v>
      </c>
      <c r="I431" s="467">
        <v>0.398</v>
      </c>
      <c r="J431" s="468">
        <v>0.001</v>
      </c>
    </row>
    <row r="432" spans="1:10" ht="12.75" outlineLevel="2">
      <c r="A432" s="645">
        <v>2140228045</v>
      </c>
      <c r="B432" s="635" t="s">
        <v>2256</v>
      </c>
      <c r="C432" s="635" t="s">
        <v>2189</v>
      </c>
      <c r="D432" s="635"/>
      <c r="E432" s="635" t="s">
        <v>1494</v>
      </c>
      <c r="F432" s="465" t="s">
        <v>96</v>
      </c>
      <c r="G432" s="466">
        <v>0.183</v>
      </c>
      <c r="H432" s="466">
        <v>0.181</v>
      </c>
      <c r="I432" s="467">
        <v>0.181</v>
      </c>
      <c r="J432" s="468">
        <v>0</v>
      </c>
    </row>
    <row r="433" spans="1:10" ht="12.75" outlineLevel="2">
      <c r="A433" s="645">
        <v>2140228046</v>
      </c>
      <c r="B433" s="635" t="s">
        <v>2257</v>
      </c>
      <c r="C433" s="635" t="s">
        <v>2198</v>
      </c>
      <c r="D433" s="635"/>
      <c r="E433" s="635" t="s">
        <v>1533</v>
      </c>
      <c r="F433" s="465" t="s">
        <v>96</v>
      </c>
      <c r="G433" s="466">
        <v>0.168</v>
      </c>
      <c r="H433" s="466">
        <v>0</v>
      </c>
      <c r="I433" s="467">
        <v>0</v>
      </c>
      <c r="J433" s="468">
        <v>0</v>
      </c>
    </row>
    <row r="434" spans="1:10" ht="12.75" outlineLevel="2">
      <c r="A434" s="645">
        <v>2140228047</v>
      </c>
      <c r="B434" s="635" t="s">
        <v>2258</v>
      </c>
      <c r="C434" s="635" t="s">
        <v>2198</v>
      </c>
      <c r="D434" s="635"/>
      <c r="E434" s="635" t="s">
        <v>1494</v>
      </c>
      <c r="F434" s="465" t="s">
        <v>96</v>
      </c>
      <c r="G434" s="466">
        <v>1.15</v>
      </c>
      <c r="H434" s="466">
        <v>1.013</v>
      </c>
      <c r="I434" s="467">
        <v>1.013</v>
      </c>
      <c r="J434" s="468">
        <v>0</v>
      </c>
    </row>
    <row r="435" spans="1:10" ht="12.75" outlineLevel="2">
      <c r="A435" s="645">
        <v>2140228048</v>
      </c>
      <c r="B435" s="635" t="s">
        <v>2259</v>
      </c>
      <c r="C435" s="635" t="s">
        <v>2198</v>
      </c>
      <c r="D435" s="635"/>
      <c r="E435" s="635" t="s">
        <v>1494</v>
      </c>
      <c r="F435" s="465" t="s">
        <v>1845</v>
      </c>
      <c r="G435" s="466">
        <v>0.2</v>
      </c>
      <c r="H435" s="466">
        <v>0.266</v>
      </c>
      <c r="I435" s="467">
        <v>0.265</v>
      </c>
      <c r="J435" s="468">
        <v>0.001</v>
      </c>
    </row>
    <row r="436" spans="1:10" ht="12.75" outlineLevel="2">
      <c r="A436" s="645">
        <v>2140228049</v>
      </c>
      <c r="B436" s="635" t="s">
        <v>2260</v>
      </c>
      <c r="C436" s="635" t="s">
        <v>2209</v>
      </c>
      <c r="D436" s="635"/>
      <c r="E436" s="635" t="s">
        <v>1494</v>
      </c>
      <c r="F436" s="465" t="s">
        <v>96</v>
      </c>
      <c r="G436" s="466">
        <v>2.7</v>
      </c>
      <c r="H436" s="466">
        <v>2.699</v>
      </c>
      <c r="I436" s="467">
        <v>2.699</v>
      </c>
      <c r="J436" s="468">
        <v>0</v>
      </c>
    </row>
    <row r="437" spans="1:10" ht="12.75" outlineLevel="2">
      <c r="A437" s="645">
        <v>2140228050</v>
      </c>
      <c r="B437" s="635" t="s">
        <v>2225</v>
      </c>
      <c r="C437" s="635" t="s">
        <v>2209</v>
      </c>
      <c r="D437" s="635"/>
      <c r="E437" s="635" t="s">
        <v>1494</v>
      </c>
      <c r="F437" s="465" t="s">
        <v>1845</v>
      </c>
      <c r="G437" s="466">
        <v>0.795</v>
      </c>
      <c r="H437" s="466">
        <v>0.841</v>
      </c>
      <c r="I437" s="467">
        <v>0.841</v>
      </c>
      <c r="J437" s="468">
        <v>0</v>
      </c>
    </row>
    <row r="438" spans="1:10" ht="12.75" outlineLevel="2">
      <c r="A438" s="645">
        <v>2140228051</v>
      </c>
      <c r="B438" s="635" t="s">
        <v>2226</v>
      </c>
      <c r="C438" s="635" t="s">
        <v>2209</v>
      </c>
      <c r="D438" s="635"/>
      <c r="E438" s="635" t="s">
        <v>1494</v>
      </c>
      <c r="F438" s="465" t="s">
        <v>1845</v>
      </c>
      <c r="G438" s="466">
        <v>0.28</v>
      </c>
      <c r="H438" s="466">
        <v>0.315</v>
      </c>
      <c r="I438" s="467">
        <v>0.315</v>
      </c>
      <c r="J438" s="468">
        <v>0</v>
      </c>
    </row>
    <row r="439" spans="1:10" ht="12.75" outlineLevel="2">
      <c r="A439" s="645">
        <v>2140228052</v>
      </c>
      <c r="B439" s="635" t="s">
        <v>2261</v>
      </c>
      <c r="C439" s="635" t="s">
        <v>2189</v>
      </c>
      <c r="D439" s="635"/>
      <c r="E439" s="635" t="s">
        <v>1494</v>
      </c>
      <c r="F439" s="465" t="s">
        <v>96</v>
      </c>
      <c r="G439" s="466">
        <v>0</v>
      </c>
      <c r="H439" s="466">
        <v>0.267</v>
      </c>
      <c r="I439" s="467">
        <v>0.266</v>
      </c>
      <c r="J439" s="468">
        <v>0.001</v>
      </c>
    </row>
    <row r="440" spans="1:10" ht="12.75" outlineLevel="2">
      <c r="A440" s="645">
        <v>2140228053</v>
      </c>
      <c r="B440" s="635" t="s">
        <v>2262</v>
      </c>
      <c r="C440" s="635" t="s">
        <v>575</v>
      </c>
      <c r="D440" s="635"/>
      <c r="E440" s="635" t="s">
        <v>1494</v>
      </c>
      <c r="F440" s="465" t="s">
        <v>96</v>
      </c>
      <c r="G440" s="466">
        <v>0</v>
      </c>
      <c r="H440" s="466">
        <v>0.501</v>
      </c>
      <c r="I440" s="467">
        <v>0.501</v>
      </c>
      <c r="J440" s="468">
        <v>0</v>
      </c>
    </row>
    <row r="441" spans="1:10" ht="12.75" outlineLevel="2">
      <c r="A441" s="645">
        <v>2140228054</v>
      </c>
      <c r="B441" s="635" t="s">
        <v>385</v>
      </c>
      <c r="C441" s="635" t="s">
        <v>838</v>
      </c>
      <c r="D441" s="635"/>
      <c r="E441" s="635" t="s">
        <v>1494</v>
      </c>
      <c r="F441" s="465" t="s">
        <v>96</v>
      </c>
      <c r="G441" s="466">
        <v>0</v>
      </c>
      <c r="H441" s="466">
        <v>2.301</v>
      </c>
      <c r="I441" s="467">
        <v>2.301</v>
      </c>
      <c r="J441" s="468">
        <v>0</v>
      </c>
    </row>
    <row r="442" spans="1:10" ht="12.75" outlineLevel="2">
      <c r="A442" s="645">
        <v>2140228055</v>
      </c>
      <c r="B442" s="635" t="s">
        <v>386</v>
      </c>
      <c r="C442" s="635" t="s">
        <v>838</v>
      </c>
      <c r="D442" s="635"/>
      <c r="E442" s="635" t="s">
        <v>1494</v>
      </c>
      <c r="F442" s="465" t="s">
        <v>96</v>
      </c>
      <c r="G442" s="466">
        <v>0</v>
      </c>
      <c r="H442" s="466">
        <v>0.885</v>
      </c>
      <c r="I442" s="467">
        <v>0.884</v>
      </c>
      <c r="J442" s="468">
        <v>0.001</v>
      </c>
    </row>
    <row r="443" spans="1:10" ht="12.75" outlineLevel="2">
      <c r="A443" s="645">
        <v>2140228056</v>
      </c>
      <c r="B443" s="635" t="s">
        <v>387</v>
      </c>
      <c r="C443" s="635" t="s">
        <v>581</v>
      </c>
      <c r="D443" s="635"/>
      <c r="E443" s="635" t="s">
        <v>1494</v>
      </c>
      <c r="F443" s="465" t="s">
        <v>1845</v>
      </c>
      <c r="G443" s="466">
        <v>0</v>
      </c>
      <c r="H443" s="466">
        <v>1.031</v>
      </c>
      <c r="I443" s="467">
        <v>1.03</v>
      </c>
      <c r="J443" s="468">
        <v>0.001</v>
      </c>
    </row>
    <row r="444" spans="1:10" ht="12.75" outlineLevel="2">
      <c r="A444" s="645">
        <v>2140228056</v>
      </c>
      <c r="B444" s="635" t="s">
        <v>387</v>
      </c>
      <c r="C444" s="635" t="s">
        <v>581</v>
      </c>
      <c r="D444" s="635"/>
      <c r="E444" s="635" t="s">
        <v>1494</v>
      </c>
      <c r="F444" s="465" t="s">
        <v>96</v>
      </c>
      <c r="G444" s="466">
        <v>0</v>
      </c>
      <c r="H444" s="466">
        <v>3.614</v>
      </c>
      <c r="I444" s="467">
        <v>3.612</v>
      </c>
      <c r="J444" s="468">
        <v>0.002</v>
      </c>
    </row>
    <row r="445" spans="1:10" ht="12.75" outlineLevel="2">
      <c r="A445" s="645">
        <v>2140228057</v>
      </c>
      <c r="B445" s="635" t="s">
        <v>388</v>
      </c>
      <c r="C445" s="635" t="s">
        <v>581</v>
      </c>
      <c r="D445" s="635"/>
      <c r="E445" s="635" t="s">
        <v>1494</v>
      </c>
      <c r="F445" s="465" t="s">
        <v>96</v>
      </c>
      <c r="G445" s="466">
        <v>0</v>
      </c>
      <c r="H445" s="466">
        <v>0.988</v>
      </c>
      <c r="I445" s="467">
        <v>0.987</v>
      </c>
      <c r="J445" s="468">
        <v>0.001</v>
      </c>
    </row>
    <row r="446" spans="1:10" ht="12.75" outlineLevel="2">
      <c r="A446" s="645">
        <v>2140228058</v>
      </c>
      <c r="B446" s="635" t="s">
        <v>389</v>
      </c>
      <c r="C446" s="635" t="s">
        <v>559</v>
      </c>
      <c r="D446" s="635"/>
      <c r="E446" s="635" t="s">
        <v>1494</v>
      </c>
      <c r="F446" s="465" t="s">
        <v>96</v>
      </c>
      <c r="G446" s="466">
        <v>0</v>
      </c>
      <c r="H446" s="466">
        <v>1.79</v>
      </c>
      <c r="I446" s="467">
        <v>1.788</v>
      </c>
      <c r="J446" s="468">
        <v>0.002</v>
      </c>
    </row>
    <row r="447" spans="1:10" ht="12.75" outlineLevel="2">
      <c r="A447" s="645">
        <v>2140228059</v>
      </c>
      <c r="B447" s="635" t="s">
        <v>390</v>
      </c>
      <c r="C447" s="635" t="s">
        <v>2198</v>
      </c>
      <c r="D447" s="635"/>
      <c r="E447" s="635" t="s">
        <v>1494</v>
      </c>
      <c r="F447" s="465" t="s">
        <v>96</v>
      </c>
      <c r="G447" s="466">
        <v>0</v>
      </c>
      <c r="H447" s="466">
        <v>0.07</v>
      </c>
      <c r="I447" s="467">
        <v>0.07</v>
      </c>
      <c r="J447" s="468">
        <v>0</v>
      </c>
    </row>
    <row r="448" spans="1:10" ht="12.75" outlineLevel="2">
      <c r="A448" s="645">
        <v>2140228060</v>
      </c>
      <c r="B448" s="635" t="s">
        <v>391</v>
      </c>
      <c r="C448" s="635" t="s">
        <v>559</v>
      </c>
      <c r="D448" s="635"/>
      <c r="E448" s="635" t="s">
        <v>1494</v>
      </c>
      <c r="F448" s="465" t="s">
        <v>96</v>
      </c>
      <c r="G448" s="466">
        <v>0</v>
      </c>
      <c r="H448" s="466">
        <v>0.274</v>
      </c>
      <c r="I448" s="467">
        <v>0.274</v>
      </c>
      <c r="J448" s="468">
        <v>0</v>
      </c>
    </row>
    <row r="449" spans="1:10" ht="12.75" outlineLevel="2">
      <c r="A449" s="645">
        <v>2140228061</v>
      </c>
      <c r="B449" s="635" t="s">
        <v>392</v>
      </c>
      <c r="C449" s="635" t="s">
        <v>838</v>
      </c>
      <c r="D449" s="635"/>
      <c r="E449" s="635" t="s">
        <v>1494</v>
      </c>
      <c r="F449" s="465" t="s">
        <v>96</v>
      </c>
      <c r="G449" s="466">
        <v>0</v>
      </c>
      <c r="H449" s="466">
        <v>3.51</v>
      </c>
      <c r="I449" s="467">
        <v>3.509</v>
      </c>
      <c r="J449" s="468">
        <v>0.001</v>
      </c>
    </row>
    <row r="450" spans="1:10" ht="12.75" outlineLevel="2">
      <c r="A450" s="645">
        <v>2140228062</v>
      </c>
      <c r="B450" s="635" t="s">
        <v>393</v>
      </c>
      <c r="C450" s="635" t="s">
        <v>569</v>
      </c>
      <c r="D450" s="635"/>
      <c r="E450" s="635" t="s">
        <v>1494</v>
      </c>
      <c r="F450" s="465" t="s">
        <v>96</v>
      </c>
      <c r="G450" s="466">
        <v>0</v>
      </c>
      <c r="H450" s="466">
        <v>0.6</v>
      </c>
      <c r="I450" s="467">
        <v>0.599</v>
      </c>
      <c r="J450" s="468">
        <v>0.001</v>
      </c>
    </row>
    <row r="451" spans="1:10" ht="12.75" outlineLevel="2">
      <c r="A451" s="645">
        <v>2140228063</v>
      </c>
      <c r="B451" s="635" t="s">
        <v>394</v>
      </c>
      <c r="C451" s="635" t="s">
        <v>838</v>
      </c>
      <c r="D451" s="635"/>
      <c r="E451" s="635" t="s">
        <v>1494</v>
      </c>
      <c r="F451" s="465" t="s">
        <v>96</v>
      </c>
      <c r="G451" s="466">
        <v>0</v>
      </c>
      <c r="H451" s="466">
        <v>0.42</v>
      </c>
      <c r="I451" s="467">
        <v>0.419</v>
      </c>
      <c r="J451" s="468">
        <v>0.001</v>
      </c>
    </row>
    <row r="452" spans="1:10" ht="12.75" outlineLevel="2">
      <c r="A452" s="645">
        <v>2140228064</v>
      </c>
      <c r="B452" s="635" t="s">
        <v>395</v>
      </c>
      <c r="C452" s="635" t="s">
        <v>838</v>
      </c>
      <c r="D452" s="635"/>
      <c r="E452" s="635" t="s">
        <v>1494</v>
      </c>
      <c r="F452" s="465" t="s">
        <v>96</v>
      </c>
      <c r="G452" s="466">
        <v>0</v>
      </c>
      <c r="H452" s="466">
        <v>0.474</v>
      </c>
      <c r="I452" s="467">
        <v>0.474</v>
      </c>
      <c r="J452" s="468">
        <v>0</v>
      </c>
    </row>
    <row r="453" spans="1:10" ht="12.75" outlineLevel="2">
      <c r="A453" s="645">
        <v>2140228065</v>
      </c>
      <c r="B453" s="635" t="s">
        <v>396</v>
      </c>
      <c r="C453" s="635" t="s">
        <v>559</v>
      </c>
      <c r="D453" s="635"/>
      <c r="E453" s="635" t="s">
        <v>1494</v>
      </c>
      <c r="F453" s="465" t="s">
        <v>96</v>
      </c>
      <c r="G453" s="466">
        <v>0</v>
      </c>
      <c r="H453" s="466">
        <v>1</v>
      </c>
      <c r="I453" s="467">
        <v>1</v>
      </c>
      <c r="J453" s="468">
        <v>0</v>
      </c>
    </row>
    <row r="454" spans="1:10" ht="12.75" outlineLevel="2">
      <c r="A454" s="645">
        <v>2140228066</v>
      </c>
      <c r="B454" s="635" t="s">
        <v>2231</v>
      </c>
      <c r="C454" s="635" t="s">
        <v>559</v>
      </c>
      <c r="D454" s="635"/>
      <c r="E454" s="635" t="s">
        <v>1494</v>
      </c>
      <c r="F454" s="465" t="s">
        <v>96</v>
      </c>
      <c r="G454" s="466">
        <v>0</v>
      </c>
      <c r="H454" s="466">
        <v>0.6</v>
      </c>
      <c r="I454" s="467">
        <v>0.6</v>
      </c>
      <c r="J454" s="468">
        <v>0</v>
      </c>
    </row>
    <row r="455" spans="1:10" ht="12.75" outlineLevel="2">
      <c r="A455" s="645">
        <v>2140228067</v>
      </c>
      <c r="B455" s="635" t="s">
        <v>2245</v>
      </c>
      <c r="C455" s="635" t="s">
        <v>569</v>
      </c>
      <c r="D455" s="635"/>
      <c r="E455" s="635" t="s">
        <v>1494</v>
      </c>
      <c r="F455" s="465" t="s">
        <v>96</v>
      </c>
      <c r="G455" s="466">
        <v>0</v>
      </c>
      <c r="H455" s="466">
        <v>1.892</v>
      </c>
      <c r="I455" s="467">
        <v>1.892</v>
      </c>
      <c r="J455" s="468">
        <v>0</v>
      </c>
    </row>
    <row r="456" spans="1:10" ht="12.75" outlineLevel="2">
      <c r="A456" s="645">
        <v>2140228068</v>
      </c>
      <c r="B456" s="635" t="s">
        <v>397</v>
      </c>
      <c r="C456" s="635" t="s">
        <v>569</v>
      </c>
      <c r="D456" s="635"/>
      <c r="E456" s="635" t="s">
        <v>1494</v>
      </c>
      <c r="F456" s="465" t="s">
        <v>96</v>
      </c>
      <c r="G456" s="466">
        <v>0</v>
      </c>
      <c r="H456" s="466">
        <v>0.073</v>
      </c>
      <c r="I456" s="467">
        <v>0.072</v>
      </c>
      <c r="J456" s="468">
        <v>0.001</v>
      </c>
    </row>
    <row r="457" spans="1:10" ht="12.75" outlineLevel="2">
      <c r="A457" s="645">
        <v>2140228069</v>
      </c>
      <c r="B457" s="635" t="s">
        <v>398</v>
      </c>
      <c r="C457" s="635" t="s">
        <v>569</v>
      </c>
      <c r="D457" s="635"/>
      <c r="E457" s="635" t="s">
        <v>1494</v>
      </c>
      <c r="F457" s="465" t="s">
        <v>96</v>
      </c>
      <c r="G457" s="466">
        <v>0</v>
      </c>
      <c r="H457" s="466">
        <v>0.94</v>
      </c>
      <c r="I457" s="467">
        <v>0.936</v>
      </c>
      <c r="J457" s="468">
        <v>0.004</v>
      </c>
    </row>
    <row r="458" spans="1:10" ht="12.75" outlineLevel="2">
      <c r="A458" s="645">
        <v>2140238001</v>
      </c>
      <c r="B458" s="635" t="s">
        <v>399</v>
      </c>
      <c r="C458" s="635" t="s">
        <v>400</v>
      </c>
      <c r="D458" s="635"/>
      <c r="E458" s="635" t="s">
        <v>1494</v>
      </c>
      <c r="F458" s="465" t="s">
        <v>96</v>
      </c>
      <c r="G458" s="466">
        <v>2.35</v>
      </c>
      <c r="H458" s="466">
        <v>1.615</v>
      </c>
      <c r="I458" s="467">
        <v>1.615</v>
      </c>
      <c r="J458" s="468">
        <v>0</v>
      </c>
    </row>
    <row r="459" spans="1:10" ht="12.75" outlineLevel="2">
      <c r="A459" s="645">
        <v>2140238002</v>
      </c>
      <c r="B459" s="635" t="s">
        <v>401</v>
      </c>
      <c r="C459" s="635" t="s">
        <v>400</v>
      </c>
      <c r="D459" s="635"/>
      <c r="E459" s="635" t="s">
        <v>1533</v>
      </c>
      <c r="F459" s="465" t="s">
        <v>96</v>
      </c>
      <c r="G459" s="466">
        <v>0.635</v>
      </c>
      <c r="H459" s="466">
        <v>0</v>
      </c>
      <c r="I459" s="467">
        <v>0</v>
      </c>
      <c r="J459" s="468">
        <v>0</v>
      </c>
    </row>
    <row r="460" spans="1:10" ht="12.75" outlineLevel="2">
      <c r="A460" s="645">
        <v>2140238003</v>
      </c>
      <c r="B460" s="635" t="s">
        <v>402</v>
      </c>
      <c r="C460" s="635" t="s">
        <v>400</v>
      </c>
      <c r="D460" s="635"/>
      <c r="E460" s="635" t="s">
        <v>1494</v>
      </c>
      <c r="F460" s="465" t="s">
        <v>96</v>
      </c>
      <c r="G460" s="466">
        <v>0</v>
      </c>
      <c r="H460" s="466">
        <v>1.37</v>
      </c>
      <c r="I460" s="467">
        <v>1.37</v>
      </c>
      <c r="J460" s="468">
        <v>0</v>
      </c>
    </row>
    <row r="461" spans="1:10" ht="12.75" outlineLevel="2">
      <c r="A461" s="645">
        <v>2140248001</v>
      </c>
      <c r="B461" s="635" t="s">
        <v>2226</v>
      </c>
      <c r="C461" s="635" t="s">
        <v>1588</v>
      </c>
      <c r="D461" s="635"/>
      <c r="E461" s="635" t="s">
        <v>1494</v>
      </c>
      <c r="F461" s="465" t="s">
        <v>1845</v>
      </c>
      <c r="G461" s="466">
        <v>0.325</v>
      </c>
      <c r="H461" s="466">
        <v>0.092</v>
      </c>
      <c r="I461" s="467">
        <v>0.092</v>
      </c>
      <c r="J461" s="468">
        <v>0</v>
      </c>
    </row>
    <row r="462" spans="1:10" ht="12.75" outlineLevel="2">
      <c r="A462" s="645">
        <v>2140248002</v>
      </c>
      <c r="B462" s="635" t="s">
        <v>2225</v>
      </c>
      <c r="C462" s="635" t="s">
        <v>1588</v>
      </c>
      <c r="D462" s="635"/>
      <c r="E462" s="635" t="s">
        <v>1494</v>
      </c>
      <c r="F462" s="465" t="s">
        <v>1845</v>
      </c>
      <c r="G462" s="466">
        <v>2</v>
      </c>
      <c r="H462" s="466">
        <v>5.551</v>
      </c>
      <c r="I462" s="467">
        <v>5.551</v>
      </c>
      <c r="J462" s="468">
        <v>0</v>
      </c>
    </row>
    <row r="463" spans="1:10" ht="12.75" outlineLevel="2">
      <c r="A463" s="645">
        <v>2140248003</v>
      </c>
      <c r="B463" s="635" t="s">
        <v>403</v>
      </c>
      <c r="C463" s="635" t="s">
        <v>1588</v>
      </c>
      <c r="D463" s="635"/>
      <c r="E463" s="635" t="s">
        <v>1494</v>
      </c>
      <c r="F463" s="465" t="s">
        <v>1845</v>
      </c>
      <c r="G463" s="466">
        <v>2.45</v>
      </c>
      <c r="H463" s="466">
        <v>1.941</v>
      </c>
      <c r="I463" s="467">
        <v>1.941</v>
      </c>
      <c r="J463" s="468">
        <v>0</v>
      </c>
    </row>
    <row r="464" spans="1:10" ht="12.75" outlineLevel="2">
      <c r="A464" s="645">
        <v>2140248004</v>
      </c>
      <c r="B464" s="635" t="s">
        <v>404</v>
      </c>
      <c r="C464" s="635" t="s">
        <v>1588</v>
      </c>
      <c r="D464" s="635"/>
      <c r="E464" s="635" t="s">
        <v>1494</v>
      </c>
      <c r="F464" s="465" t="s">
        <v>96</v>
      </c>
      <c r="G464" s="466">
        <v>1.472</v>
      </c>
      <c r="H464" s="466">
        <v>1.067</v>
      </c>
      <c r="I464" s="467">
        <v>1.067</v>
      </c>
      <c r="J464" s="468">
        <v>0</v>
      </c>
    </row>
    <row r="465" spans="1:10" ht="12.75" outlineLevel="2">
      <c r="A465" s="645">
        <v>2140248005</v>
      </c>
      <c r="B465" s="635" t="s">
        <v>405</v>
      </c>
      <c r="C465" s="635" t="s">
        <v>1588</v>
      </c>
      <c r="D465" s="635"/>
      <c r="E465" s="635" t="s">
        <v>1533</v>
      </c>
      <c r="F465" s="465" t="s">
        <v>96</v>
      </c>
      <c r="G465" s="466">
        <v>1.45</v>
      </c>
      <c r="H465" s="466">
        <v>0</v>
      </c>
      <c r="I465" s="467">
        <v>0</v>
      </c>
      <c r="J465" s="468">
        <v>0</v>
      </c>
    </row>
    <row r="466" spans="1:10" ht="12.75" outlineLevel="2">
      <c r="A466" s="645">
        <v>2140248006</v>
      </c>
      <c r="B466" s="635" t="s">
        <v>406</v>
      </c>
      <c r="C466" s="635" t="s">
        <v>1588</v>
      </c>
      <c r="D466" s="635"/>
      <c r="E466" s="635" t="s">
        <v>1494</v>
      </c>
      <c r="F466" s="465" t="s">
        <v>96</v>
      </c>
      <c r="G466" s="466">
        <v>0.1</v>
      </c>
      <c r="H466" s="466">
        <v>0.072</v>
      </c>
      <c r="I466" s="467">
        <v>0.071</v>
      </c>
      <c r="J466" s="468">
        <v>0.001</v>
      </c>
    </row>
    <row r="467" spans="1:10" ht="12.75" outlineLevel="2">
      <c r="A467" s="645">
        <v>2140248007</v>
      </c>
      <c r="B467" s="635" t="s">
        <v>407</v>
      </c>
      <c r="C467" s="635" t="s">
        <v>1588</v>
      </c>
      <c r="D467" s="635"/>
      <c r="E467" s="635" t="s">
        <v>1494</v>
      </c>
      <c r="F467" s="465" t="s">
        <v>96</v>
      </c>
      <c r="G467" s="466">
        <v>0</v>
      </c>
      <c r="H467" s="466">
        <v>1</v>
      </c>
      <c r="I467" s="467">
        <v>1</v>
      </c>
      <c r="J467" s="468">
        <v>0</v>
      </c>
    </row>
    <row r="468" spans="1:10" ht="12.75" outlineLevel="2">
      <c r="A468" s="645">
        <v>2140297007</v>
      </c>
      <c r="B468" s="635" t="s">
        <v>408</v>
      </c>
      <c r="C468" s="635" t="s">
        <v>838</v>
      </c>
      <c r="D468" s="635"/>
      <c r="E468" s="635" t="s">
        <v>1494</v>
      </c>
      <c r="F468" s="465" t="s">
        <v>96</v>
      </c>
      <c r="G468" s="466">
        <v>5.376</v>
      </c>
      <c r="H468" s="466">
        <v>4.69</v>
      </c>
      <c r="I468" s="467">
        <v>4.69</v>
      </c>
      <c r="J468" s="468">
        <v>0</v>
      </c>
    </row>
    <row r="469" spans="1:10" ht="12.75" outlineLevel="2">
      <c r="A469" s="645">
        <v>2140297007</v>
      </c>
      <c r="B469" s="635" t="s">
        <v>408</v>
      </c>
      <c r="C469" s="635" t="s">
        <v>838</v>
      </c>
      <c r="D469" s="635"/>
      <c r="E469" s="635" t="s">
        <v>1494</v>
      </c>
      <c r="F469" s="465" t="s">
        <v>333</v>
      </c>
      <c r="G469" s="466">
        <v>0</v>
      </c>
      <c r="H469" s="466">
        <v>0</v>
      </c>
      <c r="I469" s="467">
        <v>3.76</v>
      </c>
      <c r="J469" s="468">
        <v>0</v>
      </c>
    </row>
    <row r="470" spans="1:10" ht="12.75" outlineLevel="2">
      <c r="A470" s="645">
        <v>2140298002</v>
      </c>
      <c r="B470" s="635" t="s">
        <v>409</v>
      </c>
      <c r="C470" s="635" t="s">
        <v>559</v>
      </c>
      <c r="D470" s="635"/>
      <c r="E470" s="635" t="s">
        <v>1494</v>
      </c>
      <c r="F470" s="465" t="s">
        <v>96</v>
      </c>
      <c r="G470" s="466">
        <v>0.2</v>
      </c>
      <c r="H470" s="466">
        <v>0.198</v>
      </c>
      <c r="I470" s="467">
        <v>0.198</v>
      </c>
      <c r="J470" s="468">
        <v>0</v>
      </c>
    </row>
    <row r="471" spans="1:10" ht="12.75" outlineLevel="2">
      <c r="A471" s="645">
        <v>2140298003</v>
      </c>
      <c r="B471" s="635" t="s">
        <v>410</v>
      </c>
      <c r="C471" s="635" t="s">
        <v>569</v>
      </c>
      <c r="D471" s="635"/>
      <c r="E471" s="635" t="s">
        <v>1494</v>
      </c>
      <c r="F471" s="465" t="s">
        <v>96</v>
      </c>
      <c r="G471" s="466">
        <v>5.7</v>
      </c>
      <c r="H471" s="466">
        <v>5.914</v>
      </c>
      <c r="I471" s="467">
        <v>5.913</v>
      </c>
      <c r="J471" s="468">
        <v>0.001</v>
      </c>
    </row>
    <row r="472" spans="1:10" ht="12.75" outlineLevel="2">
      <c r="A472" s="645">
        <v>2140298004</v>
      </c>
      <c r="B472" s="635" t="s">
        <v>411</v>
      </c>
      <c r="C472" s="635" t="s">
        <v>1588</v>
      </c>
      <c r="D472" s="635"/>
      <c r="E472" s="635" t="s">
        <v>1533</v>
      </c>
      <c r="F472" s="465" t="s">
        <v>1845</v>
      </c>
      <c r="G472" s="466">
        <v>0.05</v>
      </c>
      <c r="H472" s="466">
        <v>0</v>
      </c>
      <c r="I472" s="467">
        <v>0</v>
      </c>
      <c r="J472" s="468">
        <v>0</v>
      </c>
    </row>
    <row r="473" spans="1:10" ht="13.5" outlineLevel="2" thickBot="1">
      <c r="A473" s="646">
        <v>2140298005</v>
      </c>
      <c r="B473" s="636" t="s">
        <v>412</v>
      </c>
      <c r="C473" s="636" t="s">
        <v>559</v>
      </c>
      <c r="D473" s="636"/>
      <c r="E473" s="636" t="s">
        <v>1494</v>
      </c>
      <c r="F473" s="469" t="s">
        <v>96</v>
      </c>
      <c r="G473" s="470">
        <v>0</v>
      </c>
      <c r="H473" s="470">
        <v>0.173</v>
      </c>
      <c r="I473" s="471">
        <v>0.173</v>
      </c>
      <c r="J473" s="472">
        <v>0</v>
      </c>
    </row>
    <row r="474" spans="1:10" s="149" customFormat="1" ht="13.5" outlineLevel="1" thickBot="1">
      <c r="A474" s="648" t="s">
        <v>413</v>
      </c>
      <c r="B474" s="637"/>
      <c r="C474" s="637"/>
      <c r="D474" s="637"/>
      <c r="E474" s="637"/>
      <c r="F474" s="458"/>
      <c r="G474" s="459">
        <f>SUBTOTAL(9,G316:G473)</f>
        <v>142.439</v>
      </c>
      <c r="H474" s="459">
        <f>SUBTOTAL(9,H316:H473)</f>
        <v>166.3509999999999</v>
      </c>
      <c r="I474" s="473">
        <f>SUBTOTAL(9,I316:I473)</f>
        <v>189.451</v>
      </c>
      <c r="J474" s="474">
        <f>SUBTOTAL(9,J316:J473)</f>
        <v>0.17300000000000004</v>
      </c>
    </row>
    <row r="475" spans="1:10" ht="12.75" outlineLevel="2">
      <c r="A475" s="644">
        <v>2140317042</v>
      </c>
      <c r="B475" s="634" t="s">
        <v>414</v>
      </c>
      <c r="C475" s="634" t="s">
        <v>1559</v>
      </c>
      <c r="D475" s="634"/>
      <c r="E475" s="634" t="s">
        <v>1494</v>
      </c>
      <c r="F475" s="461" t="s">
        <v>96</v>
      </c>
      <c r="G475" s="462">
        <v>0.8</v>
      </c>
      <c r="H475" s="462">
        <v>1.6</v>
      </c>
      <c r="I475" s="463">
        <v>1.6</v>
      </c>
      <c r="J475" s="464">
        <v>0</v>
      </c>
    </row>
    <row r="476" spans="1:10" ht="12.75" outlineLevel="2">
      <c r="A476" s="645">
        <v>2140318001</v>
      </c>
      <c r="B476" s="635" t="s">
        <v>415</v>
      </c>
      <c r="C476" s="635" t="s">
        <v>1559</v>
      </c>
      <c r="D476" s="635"/>
      <c r="E476" s="635" t="s">
        <v>1494</v>
      </c>
      <c r="F476" s="465" t="s">
        <v>1845</v>
      </c>
      <c r="G476" s="466">
        <v>0.17</v>
      </c>
      <c r="H476" s="466">
        <v>0.15</v>
      </c>
      <c r="I476" s="467">
        <v>0.15</v>
      </c>
      <c r="J476" s="468">
        <v>0</v>
      </c>
    </row>
    <row r="477" spans="1:10" ht="12.75" outlineLevel="2">
      <c r="A477" s="645">
        <v>2140318002</v>
      </c>
      <c r="B477" s="635" t="s">
        <v>584</v>
      </c>
      <c r="C477" s="635" t="s">
        <v>1559</v>
      </c>
      <c r="D477" s="635"/>
      <c r="E477" s="635" t="s">
        <v>1494</v>
      </c>
      <c r="F477" s="465" t="s">
        <v>1845</v>
      </c>
      <c r="G477" s="466">
        <v>0.3</v>
      </c>
      <c r="H477" s="466">
        <v>0.485</v>
      </c>
      <c r="I477" s="467">
        <v>0.485</v>
      </c>
      <c r="J477" s="468">
        <v>0</v>
      </c>
    </row>
    <row r="478" spans="1:10" ht="12.75" outlineLevel="2">
      <c r="A478" s="645">
        <v>2140318002</v>
      </c>
      <c r="B478" s="635" t="s">
        <v>584</v>
      </c>
      <c r="C478" s="635" t="s">
        <v>1559</v>
      </c>
      <c r="D478" s="635"/>
      <c r="E478" s="635" t="s">
        <v>1494</v>
      </c>
      <c r="F478" s="465" t="s">
        <v>96</v>
      </c>
      <c r="G478" s="466">
        <v>0</v>
      </c>
      <c r="H478" s="466">
        <v>0.435</v>
      </c>
      <c r="I478" s="467">
        <v>0.435</v>
      </c>
      <c r="J478" s="468">
        <v>0</v>
      </c>
    </row>
    <row r="479" spans="1:10" ht="12.75" outlineLevel="2">
      <c r="A479" s="645">
        <v>2140318003</v>
      </c>
      <c r="B479" s="635" t="s">
        <v>416</v>
      </c>
      <c r="C479" s="635" t="s">
        <v>1559</v>
      </c>
      <c r="D479" s="635"/>
      <c r="E479" s="635" t="s">
        <v>1494</v>
      </c>
      <c r="F479" s="465" t="s">
        <v>1845</v>
      </c>
      <c r="G479" s="466">
        <v>0.34</v>
      </c>
      <c r="H479" s="466">
        <v>0.353</v>
      </c>
      <c r="I479" s="467">
        <v>0.353</v>
      </c>
      <c r="J479" s="468">
        <v>0</v>
      </c>
    </row>
    <row r="480" spans="1:10" ht="12.75" outlineLevel="2">
      <c r="A480" s="645">
        <v>2140318004</v>
      </c>
      <c r="B480" s="635" t="s">
        <v>572</v>
      </c>
      <c r="C480" s="635" t="s">
        <v>1559</v>
      </c>
      <c r="D480" s="635"/>
      <c r="E480" s="635" t="s">
        <v>1494</v>
      </c>
      <c r="F480" s="465" t="s">
        <v>1845</v>
      </c>
      <c r="G480" s="466">
        <v>0.28</v>
      </c>
      <c r="H480" s="466">
        <v>0.297</v>
      </c>
      <c r="I480" s="467">
        <v>0.297</v>
      </c>
      <c r="J480" s="468">
        <v>0</v>
      </c>
    </row>
    <row r="481" spans="1:10" ht="12.75" outlineLevel="2">
      <c r="A481" s="645">
        <v>2140318005</v>
      </c>
      <c r="B481" s="635" t="s">
        <v>417</v>
      </c>
      <c r="C481" s="635" t="s">
        <v>1559</v>
      </c>
      <c r="D481" s="635"/>
      <c r="E481" s="635" t="s">
        <v>1494</v>
      </c>
      <c r="F481" s="465" t="s">
        <v>1845</v>
      </c>
      <c r="G481" s="466">
        <v>0.034</v>
      </c>
      <c r="H481" s="466">
        <v>0.03</v>
      </c>
      <c r="I481" s="467">
        <v>0.03</v>
      </c>
      <c r="J481" s="468">
        <v>0</v>
      </c>
    </row>
    <row r="482" spans="1:10" ht="12.75" outlineLevel="2">
      <c r="A482" s="645">
        <v>2140318006</v>
      </c>
      <c r="B482" s="635" t="s">
        <v>418</v>
      </c>
      <c r="C482" s="635" t="s">
        <v>419</v>
      </c>
      <c r="D482" s="635"/>
      <c r="E482" s="635" t="s">
        <v>1494</v>
      </c>
      <c r="F482" s="465" t="s">
        <v>1845</v>
      </c>
      <c r="G482" s="466">
        <v>1.275</v>
      </c>
      <c r="H482" s="466">
        <v>1.309</v>
      </c>
      <c r="I482" s="467">
        <v>1.308</v>
      </c>
      <c r="J482" s="468">
        <v>0.001</v>
      </c>
    </row>
    <row r="483" spans="1:10" ht="12.75" outlineLevel="2">
      <c r="A483" s="645">
        <v>2140318007</v>
      </c>
      <c r="B483" s="635" t="s">
        <v>580</v>
      </c>
      <c r="C483" s="635" t="s">
        <v>419</v>
      </c>
      <c r="D483" s="635"/>
      <c r="E483" s="635" t="s">
        <v>1494</v>
      </c>
      <c r="F483" s="465" t="s">
        <v>1845</v>
      </c>
      <c r="G483" s="466">
        <v>0.765</v>
      </c>
      <c r="H483" s="466">
        <v>0.073</v>
      </c>
      <c r="I483" s="467">
        <v>0.072</v>
      </c>
      <c r="J483" s="468">
        <v>0.001</v>
      </c>
    </row>
    <row r="484" spans="1:10" ht="12.75" outlineLevel="2">
      <c r="A484" s="645">
        <v>2140318008</v>
      </c>
      <c r="B484" s="635" t="s">
        <v>584</v>
      </c>
      <c r="C484" s="635" t="s">
        <v>419</v>
      </c>
      <c r="D484" s="635"/>
      <c r="E484" s="635" t="s">
        <v>1494</v>
      </c>
      <c r="F484" s="465" t="s">
        <v>1845</v>
      </c>
      <c r="G484" s="466">
        <v>0.85</v>
      </c>
      <c r="H484" s="466">
        <v>1.095</v>
      </c>
      <c r="I484" s="467">
        <v>1.093</v>
      </c>
      <c r="J484" s="468">
        <v>0.002</v>
      </c>
    </row>
    <row r="485" spans="1:10" ht="12.75" outlineLevel="2">
      <c r="A485" s="645">
        <v>2140318008</v>
      </c>
      <c r="B485" s="635" t="s">
        <v>584</v>
      </c>
      <c r="C485" s="635" t="s">
        <v>419</v>
      </c>
      <c r="D485" s="635"/>
      <c r="E485" s="635" t="s">
        <v>1494</v>
      </c>
      <c r="F485" s="465" t="s">
        <v>96</v>
      </c>
      <c r="G485" s="466">
        <v>0.15</v>
      </c>
      <c r="H485" s="466">
        <v>0.374</v>
      </c>
      <c r="I485" s="467">
        <v>0.37</v>
      </c>
      <c r="J485" s="468">
        <v>0.004</v>
      </c>
    </row>
    <row r="486" spans="1:10" ht="12.75" outlineLevel="2">
      <c r="A486" s="645">
        <v>2140318009</v>
      </c>
      <c r="B486" s="635" t="s">
        <v>420</v>
      </c>
      <c r="C486" s="635" t="s">
        <v>419</v>
      </c>
      <c r="D486" s="635"/>
      <c r="E486" s="635" t="s">
        <v>1533</v>
      </c>
      <c r="F486" s="465" t="s">
        <v>1845</v>
      </c>
      <c r="G486" s="466">
        <v>0.2</v>
      </c>
      <c r="H486" s="466">
        <v>0</v>
      </c>
      <c r="I486" s="467">
        <v>0</v>
      </c>
      <c r="J486" s="468">
        <v>0</v>
      </c>
    </row>
    <row r="487" spans="1:10" ht="12.75" outlineLevel="2">
      <c r="A487" s="645">
        <v>2140318010</v>
      </c>
      <c r="B487" s="635" t="s">
        <v>418</v>
      </c>
      <c r="C487" s="635" t="s">
        <v>421</v>
      </c>
      <c r="D487" s="635"/>
      <c r="E487" s="635" t="s">
        <v>1494</v>
      </c>
      <c r="F487" s="465" t="s">
        <v>1845</v>
      </c>
      <c r="G487" s="466">
        <v>0.867</v>
      </c>
      <c r="H487" s="466">
        <v>0.867</v>
      </c>
      <c r="I487" s="467">
        <v>0.864</v>
      </c>
      <c r="J487" s="468">
        <v>0.003</v>
      </c>
    </row>
    <row r="488" spans="1:10" ht="12.75" outlineLevel="2">
      <c r="A488" s="645">
        <v>2140318011</v>
      </c>
      <c r="B488" s="635" t="s">
        <v>580</v>
      </c>
      <c r="C488" s="635" t="s">
        <v>421</v>
      </c>
      <c r="D488" s="635"/>
      <c r="E488" s="635" t="s">
        <v>1494</v>
      </c>
      <c r="F488" s="465" t="s">
        <v>1845</v>
      </c>
      <c r="G488" s="466">
        <v>0.238</v>
      </c>
      <c r="H488" s="466">
        <v>0.476</v>
      </c>
      <c r="I488" s="467">
        <v>0.476</v>
      </c>
      <c r="J488" s="468">
        <v>0</v>
      </c>
    </row>
    <row r="489" spans="1:10" ht="12.75" outlineLevel="2">
      <c r="A489" s="645">
        <v>2140318012</v>
      </c>
      <c r="B489" s="635" t="s">
        <v>422</v>
      </c>
      <c r="C489" s="635" t="s">
        <v>421</v>
      </c>
      <c r="D489" s="635"/>
      <c r="E489" s="635" t="s">
        <v>1494</v>
      </c>
      <c r="F489" s="465" t="s">
        <v>1845</v>
      </c>
      <c r="G489" s="466">
        <v>0.3</v>
      </c>
      <c r="H489" s="466">
        <v>0.597</v>
      </c>
      <c r="I489" s="467">
        <v>0.595</v>
      </c>
      <c r="J489" s="468">
        <v>0.002</v>
      </c>
    </row>
    <row r="490" spans="1:10" ht="12.75" outlineLevel="2">
      <c r="A490" s="645">
        <v>2140318012</v>
      </c>
      <c r="B490" s="635" t="s">
        <v>422</v>
      </c>
      <c r="C490" s="635" t="s">
        <v>421</v>
      </c>
      <c r="D490" s="635"/>
      <c r="E490" s="635" t="s">
        <v>1494</v>
      </c>
      <c r="F490" s="465" t="s">
        <v>96</v>
      </c>
      <c r="G490" s="466">
        <v>0.2</v>
      </c>
      <c r="H490" s="466">
        <v>0</v>
      </c>
      <c r="I490" s="467">
        <v>0</v>
      </c>
      <c r="J490" s="468">
        <v>0</v>
      </c>
    </row>
    <row r="491" spans="1:10" ht="12.75" outlineLevel="2">
      <c r="A491" s="645">
        <v>2140318013</v>
      </c>
      <c r="B491" s="635" t="s">
        <v>2199</v>
      </c>
      <c r="C491" s="635" t="s">
        <v>421</v>
      </c>
      <c r="D491" s="635"/>
      <c r="E491" s="635" t="s">
        <v>1533</v>
      </c>
      <c r="F491" s="465" t="s">
        <v>1845</v>
      </c>
      <c r="G491" s="466">
        <v>0.05</v>
      </c>
      <c r="H491" s="466">
        <v>0</v>
      </c>
      <c r="I491" s="467">
        <v>0</v>
      </c>
      <c r="J491" s="468">
        <v>0</v>
      </c>
    </row>
    <row r="492" spans="1:10" ht="12.75" outlineLevel="2">
      <c r="A492" s="645">
        <v>2140318013</v>
      </c>
      <c r="B492" s="635" t="s">
        <v>2199</v>
      </c>
      <c r="C492" s="635" t="s">
        <v>421</v>
      </c>
      <c r="D492" s="635"/>
      <c r="E492" s="635" t="s">
        <v>1533</v>
      </c>
      <c r="F492" s="465" t="s">
        <v>96</v>
      </c>
      <c r="G492" s="466">
        <v>0.05</v>
      </c>
      <c r="H492" s="466">
        <v>0</v>
      </c>
      <c r="I492" s="467">
        <v>0</v>
      </c>
      <c r="J492" s="468">
        <v>0</v>
      </c>
    </row>
    <row r="493" spans="1:10" ht="12.75" outlineLevel="2">
      <c r="A493" s="645">
        <v>2140318014</v>
      </c>
      <c r="B493" s="635" t="s">
        <v>418</v>
      </c>
      <c r="C493" s="635" t="s">
        <v>1238</v>
      </c>
      <c r="D493" s="635"/>
      <c r="E493" s="635" t="s">
        <v>1494</v>
      </c>
      <c r="F493" s="465" t="s">
        <v>1845</v>
      </c>
      <c r="G493" s="466">
        <v>1.364</v>
      </c>
      <c r="H493" s="466">
        <v>1.352</v>
      </c>
      <c r="I493" s="467">
        <v>1.352</v>
      </c>
      <c r="J493" s="468">
        <v>0</v>
      </c>
    </row>
    <row r="494" spans="1:10" ht="12.75" outlineLevel="2">
      <c r="A494" s="645">
        <v>2140318015</v>
      </c>
      <c r="B494" s="635" t="s">
        <v>580</v>
      </c>
      <c r="C494" s="635" t="s">
        <v>1238</v>
      </c>
      <c r="D494" s="635"/>
      <c r="E494" s="635" t="s">
        <v>1494</v>
      </c>
      <c r="F494" s="465" t="s">
        <v>1845</v>
      </c>
      <c r="G494" s="466">
        <v>1.7</v>
      </c>
      <c r="H494" s="466">
        <v>1.706</v>
      </c>
      <c r="I494" s="467">
        <v>1.703</v>
      </c>
      <c r="J494" s="468">
        <v>0.003</v>
      </c>
    </row>
    <row r="495" spans="1:10" ht="12.75" outlineLevel="2">
      <c r="A495" s="645">
        <v>2140318016</v>
      </c>
      <c r="B495" s="635" t="s">
        <v>584</v>
      </c>
      <c r="C495" s="635" t="s">
        <v>1238</v>
      </c>
      <c r="D495" s="635"/>
      <c r="E495" s="635" t="s">
        <v>1494</v>
      </c>
      <c r="F495" s="465" t="s">
        <v>1845</v>
      </c>
      <c r="G495" s="466">
        <v>0.2</v>
      </c>
      <c r="H495" s="466">
        <v>0.812</v>
      </c>
      <c r="I495" s="467">
        <v>0.811</v>
      </c>
      <c r="J495" s="468">
        <v>0.001</v>
      </c>
    </row>
    <row r="496" spans="1:10" ht="12.75" outlineLevel="2">
      <c r="A496" s="645">
        <v>2140318016</v>
      </c>
      <c r="B496" s="635" t="s">
        <v>584</v>
      </c>
      <c r="C496" s="635" t="s">
        <v>1238</v>
      </c>
      <c r="D496" s="635"/>
      <c r="E496" s="635" t="s">
        <v>1494</v>
      </c>
      <c r="F496" s="465" t="s">
        <v>96</v>
      </c>
      <c r="G496" s="466">
        <v>0.3</v>
      </c>
      <c r="H496" s="466">
        <v>0.417</v>
      </c>
      <c r="I496" s="467">
        <v>0.416</v>
      </c>
      <c r="J496" s="468">
        <v>0.001</v>
      </c>
    </row>
    <row r="497" spans="1:10" ht="12.75" outlineLevel="2">
      <c r="A497" s="645">
        <v>2140318017</v>
      </c>
      <c r="B497" s="635" t="s">
        <v>2199</v>
      </c>
      <c r="C497" s="635" t="s">
        <v>1238</v>
      </c>
      <c r="D497" s="635"/>
      <c r="E497" s="635" t="s">
        <v>1494</v>
      </c>
      <c r="F497" s="465" t="s">
        <v>1845</v>
      </c>
      <c r="G497" s="466">
        <v>0.05</v>
      </c>
      <c r="H497" s="466">
        <v>0.013</v>
      </c>
      <c r="I497" s="467">
        <v>0.013</v>
      </c>
      <c r="J497" s="468">
        <v>0</v>
      </c>
    </row>
    <row r="498" spans="1:10" ht="12.75" outlineLevel="2">
      <c r="A498" s="645">
        <v>2140318017</v>
      </c>
      <c r="B498" s="635" t="s">
        <v>2199</v>
      </c>
      <c r="C498" s="635" t="s">
        <v>1238</v>
      </c>
      <c r="D498" s="635"/>
      <c r="E498" s="635" t="s">
        <v>1494</v>
      </c>
      <c r="F498" s="465" t="s">
        <v>96</v>
      </c>
      <c r="G498" s="466">
        <v>0.05</v>
      </c>
      <c r="H498" s="466">
        <v>0</v>
      </c>
      <c r="I498" s="467">
        <v>0</v>
      </c>
      <c r="J498" s="468">
        <v>0</v>
      </c>
    </row>
    <row r="499" spans="1:10" ht="12.75" outlineLevel="2">
      <c r="A499" s="645">
        <v>2140318018</v>
      </c>
      <c r="B499" s="635" t="s">
        <v>1239</v>
      </c>
      <c r="C499" s="635" t="s">
        <v>1238</v>
      </c>
      <c r="D499" s="635"/>
      <c r="E499" s="635" t="s">
        <v>1533</v>
      </c>
      <c r="F499" s="465" t="s">
        <v>96</v>
      </c>
      <c r="G499" s="466">
        <v>1</v>
      </c>
      <c r="H499" s="466">
        <v>0</v>
      </c>
      <c r="I499" s="467">
        <v>0</v>
      </c>
      <c r="J499" s="468">
        <v>0</v>
      </c>
    </row>
    <row r="500" spans="1:10" ht="12.75" outlineLevel="2">
      <c r="A500" s="645">
        <v>2140318019</v>
      </c>
      <c r="B500" s="635" t="s">
        <v>418</v>
      </c>
      <c r="C500" s="635" t="s">
        <v>1240</v>
      </c>
      <c r="D500" s="635"/>
      <c r="E500" s="635" t="s">
        <v>1494</v>
      </c>
      <c r="F500" s="465" t="s">
        <v>1845</v>
      </c>
      <c r="G500" s="466">
        <v>1.263</v>
      </c>
      <c r="H500" s="466">
        <v>1.033</v>
      </c>
      <c r="I500" s="467">
        <v>1.032</v>
      </c>
      <c r="J500" s="468">
        <v>0.001</v>
      </c>
    </row>
    <row r="501" spans="1:10" ht="12.75" outlineLevel="2">
      <c r="A501" s="645">
        <v>2140318020</v>
      </c>
      <c r="B501" s="635" t="s">
        <v>580</v>
      </c>
      <c r="C501" s="635" t="s">
        <v>1240</v>
      </c>
      <c r="D501" s="635"/>
      <c r="E501" s="635" t="s">
        <v>1494</v>
      </c>
      <c r="F501" s="465" t="s">
        <v>1845</v>
      </c>
      <c r="G501" s="466">
        <v>0.816</v>
      </c>
      <c r="H501" s="466">
        <v>0.739</v>
      </c>
      <c r="I501" s="467">
        <v>0.738</v>
      </c>
      <c r="J501" s="468">
        <v>0.001</v>
      </c>
    </row>
    <row r="502" spans="1:10" ht="12.75" outlineLevel="2">
      <c r="A502" s="645">
        <v>2140318021</v>
      </c>
      <c r="B502" s="635" t="s">
        <v>2199</v>
      </c>
      <c r="C502" s="635" t="s">
        <v>1240</v>
      </c>
      <c r="D502" s="635"/>
      <c r="E502" s="635" t="s">
        <v>1494</v>
      </c>
      <c r="F502" s="465" t="s">
        <v>1845</v>
      </c>
      <c r="G502" s="466">
        <v>0.01</v>
      </c>
      <c r="H502" s="466">
        <v>0.083</v>
      </c>
      <c r="I502" s="467">
        <v>0.083</v>
      </c>
      <c r="J502" s="468">
        <v>0</v>
      </c>
    </row>
    <row r="503" spans="1:10" ht="12.75" outlineLevel="2">
      <c r="A503" s="645">
        <v>2140318021</v>
      </c>
      <c r="B503" s="635" t="s">
        <v>2199</v>
      </c>
      <c r="C503" s="635" t="s">
        <v>1240</v>
      </c>
      <c r="D503" s="635"/>
      <c r="E503" s="635" t="s">
        <v>1494</v>
      </c>
      <c r="F503" s="465" t="s">
        <v>96</v>
      </c>
      <c r="G503" s="466">
        <v>0.06</v>
      </c>
      <c r="H503" s="466">
        <v>0</v>
      </c>
      <c r="I503" s="467">
        <v>0</v>
      </c>
      <c r="J503" s="468">
        <v>0</v>
      </c>
    </row>
    <row r="504" spans="1:10" ht="12.75" outlineLevel="2">
      <c r="A504" s="645">
        <v>2140318022</v>
      </c>
      <c r="B504" s="635" t="s">
        <v>1239</v>
      </c>
      <c r="C504" s="635" t="s">
        <v>1240</v>
      </c>
      <c r="D504" s="635"/>
      <c r="E504" s="635" t="s">
        <v>1494</v>
      </c>
      <c r="F504" s="465" t="s">
        <v>96</v>
      </c>
      <c r="G504" s="466">
        <v>0.5</v>
      </c>
      <c r="H504" s="466">
        <v>0.56</v>
      </c>
      <c r="I504" s="467">
        <v>0.56</v>
      </c>
      <c r="J504" s="468">
        <v>0</v>
      </c>
    </row>
    <row r="505" spans="1:10" ht="12.75" outlineLevel="2">
      <c r="A505" s="645">
        <v>2140318023</v>
      </c>
      <c r="B505" s="635" t="s">
        <v>1241</v>
      </c>
      <c r="C505" s="635" t="s">
        <v>1240</v>
      </c>
      <c r="D505" s="635"/>
      <c r="E505" s="635" t="s">
        <v>1494</v>
      </c>
      <c r="F505" s="465" t="s">
        <v>96</v>
      </c>
      <c r="G505" s="466">
        <v>0.07</v>
      </c>
      <c r="H505" s="466">
        <v>0.125</v>
      </c>
      <c r="I505" s="467">
        <v>0.125</v>
      </c>
      <c r="J505" s="468">
        <v>0</v>
      </c>
    </row>
    <row r="506" spans="1:10" ht="12.75" outlineLevel="2">
      <c r="A506" s="645">
        <v>2140318024</v>
      </c>
      <c r="B506" s="635" t="s">
        <v>1242</v>
      </c>
      <c r="C506" s="635" t="s">
        <v>1240</v>
      </c>
      <c r="D506" s="635"/>
      <c r="E506" s="635" t="s">
        <v>1494</v>
      </c>
      <c r="F506" s="465" t="s">
        <v>1845</v>
      </c>
      <c r="G506" s="466">
        <v>0</v>
      </c>
      <c r="H506" s="466">
        <v>0.025</v>
      </c>
      <c r="I506" s="467">
        <v>0.025</v>
      </c>
      <c r="J506" s="468">
        <v>0</v>
      </c>
    </row>
    <row r="507" spans="1:10" ht="12.75" outlineLevel="2">
      <c r="A507" s="645">
        <v>2140318024</v>
      </c>
      <c r="B507" s="635" t="s">
        <v>1242</v>
      </c>
      <c r="C507" s="635" t="s">
        <v>1240</v>
      </c>
      <c r="D507" s="635"/>
      <c r="E507" s="635" t="s">
        <v>1494</v>
      </c>
      <c r="F507" s="465" t="s">
        <v>96</v>
      </c>
      <c r="G507" s="466">
        <v>0.1</v>
      </c>
      <c r="H507" s="466">
        <v>0.189</v>
      </c>
      <c r="I507" s="467">
        <v>0.189</v>
      </c>
      <c r="J507" s="468">
        <v>0</v>
      </c>
    </row>
    <row r="508" spans="1:10" ht="12.75" outlineLevel="2">
      <c r="A508" s="645">
        <v>2140318025</v>
      </c>
      <c r="B508" s="635" t="s">
        <v>572</v>
      </c>
      <c r="C508" s="635" t="s">
        <v>1243</v>
      </c>
      <c r="D508" s="635"/>
      <c r="E508" s="635" t="s">
        <v>1494</v>
      </c>
      <c r="F508" s="465" t="s">
        <v>1845</v>
      </c>
      <c r="G508" s="466">
        <v>1.147</v>
      </c>
      <c r="H508" s="466">
        <v>1.147</v>
      </c>
      <c r="I508" s="467">
        <v>1.147</v>
      </c>
      <c r="J508" s="468">
        <v>0</v>
      </c>
    </row>
    <row r="509" spans="1:10" ht="12.75" outlineLevel="2">
      <c r="A509" s="645">
        <v>2140318026</v>
      </c>
      <c r="B509" s="635" t="s">
        <v>1244</v>
      </c>
      <c r="C509" s="635" t="s">
        <v>1243</v>
      </c>
      <c r="D509" s="635"/>
      <c r="E509" s="635" t="s">
        <v>1494</v>
      </c>
      <c r="F509" s="465" t="s">
        <v>1845</v>
      </c>
      <c r="G509" s="466">
        <v>0.272</v>
      </c>
      <c r="H509" s="466">
        <v>0.272</v>
      </c>
      <c r="I509" s="467">
        <v>0.27</v>
      </c>
      <c r="J509" s="468">
        <v>0.002</v>
      </c>
    </row>
    <row r="510" spans="1:10" ht="12.75" outlineLevel="2">
      <c r="A510" s="645">
        <v>2140318027</v>
      </c>
      <c r="B510" s="635" t="s">
        <v>1245</v>
      </c>
      <c r="C510" s="635" t="s">
        <v>1243</v>
      </c>
      <c r="D510" s="635"/>
      <c r="E510" s="635" t="s">
        <v>1494</v>
      </c>
      <c r="F510" s="465" t="s">
        <v>1845</v>
      </c>
      <c r="G510" s="466">
        <v>0.255</v>
      </c>
      <c r="H510" s="466">
        <v>0.255</v>
      </c>
      <c r="I510" s="467">
        <v>0.254</v>
      </c>
      <c r="J510" s="468">
        <v>0.001</v>
      </c>
    </row>
    <row r="511" spans="1:10" ht="12.75" outlineLevel="2">
      <c r="A511" s="645">
        <v>2140318028</v>
      </c>
      <c r="B511" s="635" t="s">
        <v>1246</v>
      </c>
      <c r="C511" s="635" t="s">
        <v>1243</v>
      </c>
      <c r="D511" s="635"/>
      <c r="E511" s="635" t="s">
        <v>1494</v>
      </c>
      <c r="F511" s="465" t="s">
        <v>96</v>
      </c>
      <c r="G511" s="466">
        <v>0.5</v>
      </c>
      <c r="H511" s="466">
        <v>0.496</v>
      </c>
      <c r="I511" s="467">
        <v>0.496</v>
      </c>
      <c r="J511" s="468">
        <v>0</v>
      </c>
    </row>
    <row r="512" spans="1:10" ht="12.75" outlineLevel="2">
      <c r="A512" s="645">
        <v>2140318029</v>
      </c>
      <c r="B512" s="635" t="s">
        <v>418</v>
      </c>
      <c r="C512" s="635" t="s">
        <v>1247</v>
      </c>
      <c r="D512" s="635"/>
      <c r="E512" s="635" t="s">
        <v>1494</v>
      </c>
      <c r="F512" s="465" t="s">
        <v>1845</v>
      </c>
      <c r="G512" s="466">
        <v>2.523</v>
      </c>
      <c r="H512" s="466">
        <v>2.66</v>
      </c>
      <c r="I512" s="467">
        <v>2.643</v>
      </c>
      <c r="J512" s="468">
        <v>0.017</v>
      </c>
    </row>
    <row r="513" spans="1:10" ht="12.75" outlineLevel="2">
      <c r="A513" s="645">
        <v>2140318030</v>
      </c>
      <c r="B513" s="635" t="s">
        <v>580</v>
      </c>
      <c r="C513" s="635" t="s">
        <v>1247</v>
      </c>
      <c r="D513" s="635"/>
      <c r="E513" s="635" t="s">
        <v>1494</v>
      </c>
      <c r="F513" s="465" t="s">
        <v>1845</v>
      </c>
      <c r="G513" s="466">
        <v>1.02</v>
      </c>
      <c r="H513" s="466">
        <v>2.11</v>
      </c>
      <c r="I513" s="467">
        <v>2.046</v>
      </c>
      <c r="J513" s="468">
        <v>0.064</v>
      </c>
    </row>
    <row r="514" spans="1:10" ht="12.75" outlineLevel="2">
      <c r="A514" s="645">
        <v>2140318031</v>
      </c>
      <c r="B514" s="635" t="s">
        <v>1248</v>
      </c>
      <c r="C514" s="635" t="s">
        <v>1247</v>
      </c>
      <c r="D514" s="635"/>
      <c r="E514" s="635" t="s">
        <v>1494</v>
      </c>
      <c r="F514" s="465" t="s">
        <v>96</v>
      </c>
      <c r="G514" s="466">
        <v>0.16</v>
      </c>
      <c r="H514" s="466">
        <v>0.16</v>
      </c>
      <c r="I514" s="467">
        <v>0.159</v>
      </c>
      <c r="J514" s="468">
        <v>0.001</v>
      </c>
    </row>
    <row r="515" spans="1:10" ht="12.75" outlineLevel="2">
      <c r="A515" s="645">
        <v>2140318032</v>
      </c>
      <c r="B515" s="635" t="s">
        <v>1249</v>
      </c>
      <c r="C515" s="635" t="s">
        <v>1247</v>
      </c>
      <c r="D515" s="635"/>
      <c r="E515" s="635" t="s">
        <v>1494</v>
      </c>
      <c r="F515" s="465" t="s">
        <v>96</v>
      </c>
      <c r="G515" s="466">
        <v>0.1</v>
      </c>
      <c r="H515" s="466">
        <v>0.276</v>
      </c>
      <c r="I515" s="467">
        <v>0.276</v>
      </c>
      <c r="J515" s="468">
        <v>0</v>
      </c>
    </row>
    <row r="516" spans="1:10" ht="12.75" outlineLevel="2">
      <c r="A516" s="645">
        <v>2140318033</v>
      </c>
      <c r="B516" s="635" t="s">
        <v>1250</v>
      </c>
      <c r="C516" s="635" t="s">
        <v>1247</v>
      </c>
      <c r="D516" s="635"/>
      <c r="E516" s="635" t="s">
        <v>1494</v>
      </c>
      <c r="F516" s="465" t="s">
        <v>1845</v>
      </c>
      <c r="G516" s="466">
        <v>0</v>
      </c>
      <c r="H516" s="466">
        <v>0.019</v>
      </c>
      <c r="I516" s="467">
        <v>0.019</v>
      </c>
      <c r="J516" s="468">
        <v>0</v>
      </c>
    </row>
    <row r="517" spans="1:10" ht="12.75" outlineLevel="2">
      <c r="A517" s="645">
        <v>2140318033</v>
      </c>
      <c r="B517" s="635" t="s">
        <v>1250</v>
      </c>
      <c r="C517" s="635" t="s">
        <v>1247</v>
      </c>
      <c r="D517" s="635"/>
      <c r="E517" s="635" t="s">
        <v>1494</v>
      </c>
      <c r="F517" s="465" t="s">
        <v>96</v>
      </c>
      <c r="G517" s="466">
        <v>0.11</v>
      </c>
      <c r="H517" s="466">
        <v>0.091</v>
      </c>
      <c r="I517" s="467">
        <v>0.091</v>
      </c>
      <c r="J517" s="468">
        <v>0</v>
      </c>
    </row>
    <row r="518" spans="1:10" ht="12.75" outlineLevel="2">
      <c r="A518" s="645">
        <v>2140318034</v>
      </c>
      <c r="B518" s="635" t="s">
        <v>1251</v>
      </c>
      <c r="C518" s="635" t="s">
        <v>1247</v>
      </c>
      <c r="D518" s="635"/>
      <c r="E518" s="635" t="s">
        <v>1494</v>
      </c>
      <c r="F518" s="465" t="s">
        <v>1845</v>
      </c>
      <c r="G518" s="466">
        <v>0</v>
      </c>
      <c r="H518" s="466">
        <v>0.04</v>
      </c>
      <c r="I518" s="467">
        <v>0.04</v>
      </c>
      <c r="J518" s="468">
        <v>0</v>
      </c>
    </row>
    <row r="519" spans="1:10" ht="12.75" outlineLevel="2">
      <c r="A519" s="645">
        <v>2140318034</v>
      </c>
      <c r="B519" s="635" t="s">
        <v>1251</v>
      </c>
      <c r="C519" s="635" t="s">
        <v>1247</v>
      </c>
      <c r="D519" s="635"/>
      <c r="E519" s="635" t="s">
        <v>1494</v>
      </c>
      <c r="F519" s="465" t="s">
        <v>96</v>
      </c>
      <c r="G519" s="466">
        <v>0.2</v>
      </c>
      <c r="H519" s="466">
        <v>0.16</v>
      </c>
      <c r="I519" s="467">
        <v>0.16</v>
      </c>
      <c r="J519" s="468">
        <v>0</v>
      </c>
    </row>
    <row r="520" spans="1:10" ht="12.75" outlineLevel="2">
      <c r="A520" s="645">
        <v>2140318035</v>
      </c>
      <c r="B520" s="635" t="s">
        <v>418</v>
      </c>
      <c r="C520" s="635" t="s">
        <v>701</v>
      </c>
      <c r="D520" s="635"/>
      <c r="E520" s="635" t="s">
        <v>1494</v>
      </c>
      <c r="F520" s="465" t="s">
        <v>1845</v>
      </c>
      <c r="G520" s="466">
        <v>1.615</v>
      </c>
      <c r="H520" s="466">
        <v>1.615</v>
      </c>
      <c r="I520" s="467">
        <v>1.614</v>
      </c>
      <c r="J520" s="468">
        <v>0.001</v>
      </c>
    </row>
    <row r="521" spans="1:10" ht="12.75" outlineLevel="2">
      <c r="A521" s="645">
        <v>2140318036</v>
      </c>
      <c r="B521" s="635" t="s">
        <v>580</v>
      </c>
      <c r="C521" s="635" t="s">
        <v>701</v>
      </c>
      <c r="D521" s="635"/>
      <c r="E521" s="635" t="s">
        <v>1494</v>
      </c>
      <c r="F521" s="465" t="s">
        <v>1845</v>
      </c>
      <c r="G521" s="466">
        <v>1.274</v>
      </c>
      <c r="H521" s="466">
        <v>1.274</v>
      </c>
      <c r="I521" s="467">
        <v>1.272</v>
      </c>
      <c r="J521" s="468">
        <v>0.002</v>
      </c>
    </row>
    <row r="522" spans="1:10" ht="12.75" outlineLevel="2">
      <c r="A522" s="645">
        <v>2140318037</v>
      </c>
      <c r="B522" s="635" t="s">
        <v>1252</v>
      </c>
      <c r="C522" s="635" t="s">
        <v>701</v>
      </c>
      <c r="D522" s="635"/>
      <c r="E522" s="635" t="s">
        <v>1494</v>
      </c>
      <c r="F522" s="465" t="s">
        <v>1845</v>
      </c>
      <c r="G522" s="466">
        <v>0.3</v>
      </c>
      <c r="H522" s="466">
        <v>0.4</v>
      </c>
      <c r="I522" s="467">
        <v>0.399</v>
      </c>
      <c r="J522" s="468">
        <v>0.001</v>
      </c>
    </row>
    <row r="523" spans="1:10" ht="12.75" outlineLevel="2">
      <c r="A523" s="645">
        <v>2140318038</v>
      </c>
      <c r="B523" s="635" t="s">
        <v>2199</v>
      </c>
      <c r="C523" s="635" t="s">
        <v>701</v>
      </c>
      <c r="D523" s="635"/>
      <c r="E523" s="635" t="s">
        <v>1533</v>
      </c>
      <c r="F523" s="465" t="s">
        <v>1845</v>
      </c>
      <c r="G523" s="466">
        <v>0.1</v>
      </c>
      <c r="H523" s="466">
        <v>0</v>
      </c>
      <c r="I523" s="467">
        <v>0</v>
      </c>
      <c r="J523" s="468">
        <v>0</v>
      </c>
    </row>
    <row r="524" spans="1:10" ht="12.75" outlineLevel="2">
      <c r="A524" s="645">
        <v>2140318039</v>
      </c>
      <c r="B524" s="635" t="s">
        <v>1253</v>
      </c>
      <c r="C524" s="635" t="s">
        <v>701</v>
      </c>
      <c r="D524" s="635"/>
      <c r="E524" s="635" t="s">
        <v>1494</v>
      </c>
      <c r="F524" s="465" t="s">
        <v>1845</v>
      </c>
      <c r="G524" s="466">
        <v>0</v>
      </c>
      <c r="H524" s="466">
        <v>0.034</v>
      </c>
      <c r="I524" s="467">
        <v>0.034</v>
      </c>
      <c r="J524" s="468">
        <v>0</v>
      </c>
    </row>
    <row r="525" spans="1:10" ht="12.75" outlineLevel="2">
      <c r="A525" s="645">
        <v>2140318039</v>
      </c>
      <c r="B525" s="635" t="s">
        <v>1253</v>
      </c>
      <c r="C525" s="635" t="s">
        <v>701</v>
      </c>
      <c r="D525" s="635"/>
      <c r="E525" s="635" t="s">
        <v>1494</v>
      </c>
      <c r="F525" s="465" t="s">
        <v>96</v>
      </c>
      <c r="G525" s="466">
        <v>0.1</v>
      </c>
      <c r="H525" s="466">
        <v>0.066</v>
      </c>
      <c r="I525" s="467">
        <v>0.062</v>
      </c>
      <c r="J525" s="468">
        <v>0.004</v>
      </c>
    </row>
    <row r="526" spans="1:10" ht="12.75" outlineLevel="2">
      <c r="A526" s="645">
        <v>2140318040</v>
      </c>
      <c r="B526" s="635" t="s">
        <v>1254</v>
      </c>
      <c r="C526" s="635" t="s">
        <v>1240</v>
      </c>
      <c r="D526" s="635"/>
      <c r="E526" s="635" t="s">
        <v>1494</v>
      </c>
      <c r="F526" s="465" t="s">
        <v>1845</v>
      </c>
      <c r="G526" s="466">
        <v>0</v>
      </c>
      <c r="H526" s="466">
        <v>0.382</v>
      </c>
      <c r="I526" s="467">
        <v>0.381</v>
      </c>
      <c r="J526" s="468">
        <v>0.001</v>
      </c>
    </row>
    <row r="527" spans="1:10" ht="12.75" outlineLevel="2">
      <c r="A527" s="645">
        <v>2140318040</v>
      </c>
      <c r="B527" s="635" t="s">
        <v>1254</v>
      </c>
      <c r="C527" s="635" t="s">
        <v>1240</v>
      </c>
      <c r="D527" s="635"/>
      <c r="E527" s="635" t="s">
        <v>1494</v>
      </c>
      <c r="F527" s="465" t="s">
        <v>96</v>
      </c>
      <c r="G527" s="466">
        <v>0</v>
      </c>
      <c r="H527" s="466">
        <v>0.324</v>
      </c>
      <c r="I527" s="467">
        <v>0.323</v>
      </c>
      <c r="J527" s="468">
        <v>0.001</v>
      </c>
    </row>
    <row r="528" spans="1:10" ht="12.75" outlineLevel="2">
      <c r="A528" s="645">
        <v>2140318041</v>
      </c>
      <c r="B528" s="635" t="s">
        <v>1255</v>
      </c>
      <c r="C528" s="635" t="s">
        <v>419</v>
      </c>
      <c r="D528" s="635"/>
      <c r="E528" s="635" t="s">
        <v>1494</v>
      </c>
      <c r="F528" s="465" t="s">
        <v>96</v>
      </c>
      <c r="G528" s="466">
        <v>0</v>
      </c>
      <c r="H528" s="466">
        <v>0.08</v>
      </c>
      <c r="I528" s="467">
        <v>0.08</v>
      </c>
      <c r="J528" s="468">
        <v>0</v>
      </c>
    </row>
    <row r="529" spans="1:10" ht="12.75" outlineLevel="2">
      <c r="A529" s="645">
        <v>2140318042</v>
      </c>
      <c r="B529" s="635" t="s">
        <v>1256</v>
      </c>
      <c r="C529" s="635" t="s">
        <v>421</v>
      </c>
      <c r="D529" s="635"/>
      <c r="E529" s="635" t="s">
        <v>1494</v>
      </c>
      <c r="F529" s="465" t="s">
        <v>96</v>
      </c>
      <c r="G529" s="466">
        <v>0</v>
      </c>
      <c r="H529" s="466">
        <v>0.112</v>
      </c>
      <c r="I529" s="467">
        <v>0.11</v>
      </c>
      <c r="J529" s="468">
        <v>0.002</v>
      </c>
    </row>
    <row r="530" spans="1:10" ht="12.75" outlineLevel="2">
      <c r="A530" s="645">
        <v>2140318043</v>
      </c>
      <c r="B530" s="635" t="s">
        <v>1257</v>
      </c>
      <c r="C530" s="635" t="s">
        <v>421</v>
      </c>
      <c r="D530" s="635"/>
      <c r="E530" s="635" t="s">
        <v>1494</v>
      </c>
      <c r="F530" s="465" t="s">
        <v>96</v>
      </c>
      <c r="G530" s="466">
        <v>0</v>
      </c>
      <c r="H530" s="466">
        <v>0.28</v>
      </c>
      <c r="I530" s="467">
        <v>0.279</v>
      </c>
      <c r="J530" s="468">
        <v>0.001</v>
      </c>
    </row>
    <row r="531" spans="1:10" ht="12.75" outlineLevel="2">
      <c r="A531" s="645">
        <v>2140318045</v>
      </c>
      <c r="B531" s="635" t="s">
        <v>1258</v>
      </c>
      <c r="C531" s="635" t="s">
        <v>421</v>
      </c>
      <c r="D531" s="635"/>
      <c r="E531" s="635" t="s">
        <v>1494</v>
      </c>
      <c r="F531" s="465" t="s">
        <v>96</v>
      </c>
      <c r="G531" s="466">
        <v>0</v>
      </c>
      <c r="H531" s="466">
        <v>0.098</v>
      </c>
      <c r="I531" s="467">
        <v>0.097</v>
      </c>
      <c r="J531" s="468">
        <v>0.001</v>
      </c>
    </row>
    <row r="532" spans="1:10" ht="12.75" outlineLevel="2">
      <c r="A532" s="645">
        <v>2140318046</v>
      </c>
      <c r="B532" s="635" t="s">
        <v>1259</v>
      </c>
      <c r="C532" s="635" t="s">
        <v>421</v>
      </c>
      <c r="D532" s="635"/>
      <c r="E532" s="635" t="s">
        <v>1494</v>
      </c>
      <c r="F532" s="465" t="s">
        <v>96</v>
      </c>
      <c r="G532" s="466">
        <v>0</v>
      </c>
      <c r="H532" s="466">
        <v>0.096</v>
      </c>
      <c r="I532" s="467">
        <v>0.095</v>
      </c>
      <c r="J532" s="468">
        <v>0.001</v>
      </c>
    </row>
    <row r="533" spans="1:10" ht="12.75" outlineLevel="2">
      <c r="A533" s="645">
        <v>2140318047</v>
      </c>
      <c r="B533" s="635" t="s">
        <v>1260</v>
      </c>
      <c r="C533" s="635" t="s">
        <v>421</v>
      </c>
      <c r="D533" s="635"/>
      <c r="E533" s="635" t="s">
        <v>1494</v>
      </c>
      <c r="F533" s="465" t="s">
        <v>1845</v>
      </c>
      <c r="G533" s="466">
        <v>0</v>
      </c>
      <c r="H533" s="466">
        <v>0.291</v>
      </c>
      <c r="I533" s="467">
        <v>0.29</v>
      </c>
      <c r="J533" s="468">
        <v>0.001</v>
      </c>
    </row>
    <row r="534" spans="1:10" ht="12.75" outlineLevel="2">
      <c r="A534" s="645">
        <v>2140318047</v>
      </c>
      <c r="B534" s="635" t="s">
        <v>1260</v>
      </c>
      <c r="C534" s="635" t="s">
        <v>421</v>
      </c>
      <c r="D534" s="635"/>
      <c r="E534" s="635" t="s">
        <v>1494</v>
      </c>
      <c r="F534" s="465" t="s">
        <v>96</v>
      </c>
      <c r="G534" s="466">
        <v>0</v>
      </c>
      <c r="H534" s="466">
        <v>0.124</v>
      </c>
      <c r="I534" s="467">
        <v>0.124</v>
      </c>
      <c r="J534" s="468">
        <v>0</v>
      </c>
    </row>
    <row r="535" spans="1:10" ht="12.75" outlineLevel="2">
      <c r="A535" s="645">
        <v>2140318048</v>
      </c>
      <c r="B535" s="635" t="s">
        <v>1261</v>
      </c>
      <c r="C535" s="635" t="s">
        <v>1243</v>
      </c>
      <c r="D535" s="635"/>
      <c r="E535" s="635" t="s">
        <v>1494</v>
      </c>
      <c r="F535" s="465" t="s">
        <v>96</v>
      </c>
      <c r="G535" s="466">
        <v>0</v>
      </c>
      <c r="H535" s="466">
        <v>0.133</v>
      </c>
      <c r="I535" s="467">
        <v>0.132</v>
      </c>
      <c r="J535" s="468">
        <v>0.001</v>
      </c>
    </row>
    <row r="536" spans="1:10" ht="12.75" outlineLevel="2">
      <c r="A536" s="645">
        <v>2140318049</v>
      </c>
      <c r="B536" s="635" t="s">
        <v>1262</v>
      </c>
      <c r="C536" s="635" t="s">
        <v>1243</v>
      </c>
      <c r="D536" s="635"/>
      <c r="E536" s="635" t="s">
        <v>1494</v>
      </c>
      <c r="F536" s="465" t="s">
        <v>96</v>
      </c>
      <c r="G536" s="466">
        <v>0</v>
      </c>
      <c r="H536" s="466">
        <v>0.13</v>
      </c>
      <c r="I536" s="467">
        <v>0.13</v>
      </c>
      <c r="J536" s="468">
        <v>0</v>
      </c>
    </row>
    <row r="537" spans="1:10" ht="12.75" outlineLevel="2">
      <c r="A537" s="645">
        <v>2140318050</v>
      </c>
      <c r="B537" s="635" t="s">
        <v>1263</v>
      </c>
      <c r="C537" s="635" t="s">
        <v>1247</v>
      </c>
      <c r="D537" s="635"/>
      <c r="E537" s="635" t="s">
        <v>1494</v>
      </c>
      <c r="F537" s="465" t="s">
        <v>96</v>
      </c>
      <c r="G537" s="466">
        <v>0</v>
      </c>
      <c r="H537" s="466">
        <v>0.346</v>
      </c>
      <c r="I537" s="467">
        <v>0.344</v>
      </c>
      <c r="J537" s="468">
        <v>0.002</v>
      </c>
    </row>
    <row r="538" spans="1:10" ht="12.75" outlineLevel="2">
      <c r="A538" s="645">
        <v>2140318051</v>
      </c>
      <c r="B538" s="635" t="s">
        <v>1264</v>
      </c>
      <c r="C538" s="635" t="s">
        <v>421</v>
      </c>
      <c r="D538" s="635"/>
      <c r="E538" s="635" t="s">
        <v>1494</v>
      </c>
      <c r="F538" s="465" t="s">
        <v>96</v>
      </c>
      <c r="G538" s="466">
        <v>0</v>
      </c>
      <c r="H538" s="466">
        <v>1</v>
      </c>
      <c r="I538" s="467">
        <v>0.999</v>
      </c>
      <c r="J538" s="468">
        <v>0.001</v>
      </c>
    </row>
    <row r="539" spans="1:10" ht="12.75" outlineLevel="2">
      <c r="A539" s="645">
        <v>2140318052</v>
      </c>
      <c r="B539" s="635" t="s">
        <v>1265</v>
      </c>
      <c r="C539" s="635" t="s">
        <v>1243</v>
      </c>
      <c r="D539" s="635"/>
      <c r="E539" s="635" t="s">
        <v>1494</v>
      </c>
      <c r="F539" s="465" t="s">
        <v>96</v>
      </c>
      <c r="G539" s="466">
        <v>0</v>
      </c>
      <c r="H539" s="466">
        <v>0.232</v>
      </c>
      <c r="I539" s="467">
        <v>0.231</v>
      </c>
      <c r="J539" s="468">
        <v>0.001</v>
      </c>
    </row>
    <row r="540" spans="1:10" ht="12.75" outlineLevel="2">
      <c r="A540" s="645">
        <v>2140318053</v>
      </c>
      <c r="B540" s="635" t="s">
        <v>1266</v>
      </c>
      <c r="C540" s="635" t="s">
        <v>1247</v>
      </c>
      <c r="D540" s="635"/>
      <c r="E540" s="635" t="s">
        <v>1494</v>
      </c>
      <c r="F540" s="465" t="s">
        <v>1845</v>
      </c>
      <c r="G540" s="466">
        <v>0</v>
      </c>
      <c r="H540" s="466">
        <v>0.008</v>
      </c>
      <c r="I540" s="467">
        <v>0</v>
      </c>
      <c r="J540" s="468">
        <v>0.008</v>
      </c>
    </row>
    <row r="541" spans="1:10" ht="12.75" outlineLevel="2">
      <c r="A541" s="645">
        <v>2140318053</v>
      </c>
      <c r="B541" s="635" t="s">
        <v>1266</v>
      </c>
      <c r="C541" s="635" t="s">
        <v>1247</v>
      </c>
      <c r="D541" s="635"/>
      <c r="E541" s="635" t="s">
        <v>1494</v>
      </c>
      <c r="F541" s="465" t="s">
        <v>96</v>
      </c>
      <c r="G541" s="466">
        <v>0</v>
      </c>
      <c r="H541" s="466">
        <v>0.538</v>
      </c>
      <c r="I541" s="467">
        <v>0.537</v>
      </c>
      <c r="J541" s="468">
        <v>0.001</v>
      </c>
    </row>
    <row r="542" spans="1:10" ht="12.75" outlineLevel="2">
      <c r="A542" s="645">
        <v>2140318054</v>
      </c>
      <c r="B542" s="635" t="s">
        <v>1267</v>
      </c>
      <c r="C542" s="635" t="s">
        <v>1247</v>
      </c>
      <c r="D542" s="635"/>
      <c r="E542" s="635" t="s">
        <v>1494</v>
      </c>
      <c r="F542" s="465" t="s">
        <v>1845</v>
      </c>
      <c r="G542" s="466">
        <v>0</v>
      </c>
      <c r="H542" s="466">
        <v>0.445</v>
      </c>
      <c r="I542" s="467">
        <v>0.445</v>
      </c>
      <c r="J542" s="468">
        <v>0</v>
      </c>
    </row>
    <row r="543" spans="1:10" ht="12.75" outlineLevel="2">
      <c r="A543" s="645">
        <v>2140318054</v>
      </c>
      <c r="B543" s="635" t="s">
        <v>1267</v>
      </c>
      <c r="C543" s="635" t="s">
        <v>1247</v>
      </c>
      <c r="D543" s="635"/>
      <c r="E543" s="635" t="s">
        <v>1494</v>
      </c>
      <c r="F543" s="465" t="s">
        <v>96</v>
      </c>
      <c r="G543" s="466">
        <v>0</v>
      </c>
      <c r="H543" s="466">
        <v>1.619</v>
      </c>
      <c r="I543" s="467">
        <v>1.617</v>
      </c>
      <c r="J543" s="468">
        <v>0.002</v>
      </c>
    </row>
    <row r="544" spans="1:10" ht="12.75" outlineLevel="2">
      <c r="A544" s="645">
        <v>2140318055</v>
      </c>
      <c r="B544" s="635" t="s">
        <v>1268</v>
      </c>
      <c r="C544" s="635" t="s">
        <v>1243</v>
      </c>
      <c r="D544" s="635"/>
      <c r="E544" s="635" t="s">
        <v>1494</v>
      </c>
      <c r="F544" s="465" t="s">
        <v>96</v>
      </c>
      <c r="G544" s="466">
        <v>0</v>
      </c>
      <c r="H544" s="466">
        <v>0.14</v>
      </c>
      <c r="I544" s="467">
        <v>0.139</v>
      </c>
      <c r="J544" s="468">
        <v>0.001</v>
      </c>
    </row>
    <row r="545" spans="1:10" ht="12.75" outlineLevel="2">
      <c r="A545" s="645">
        <v>2140318056</v>
      </c>
      <c r="B545" s="635" t="s">
        <v>1269</v>
      </c>
      <c r="C545" s="635" t="s">
        <v>419</v>
      </c>
      <c r="D545" s="635"/>
      <c r="E545" s="635" t="s">
        <v>1494</v>
      </c>
      <c r="F545" s="465" t="s">
        <v>96</v>
      </c>
      <c r="G545" s="466">
        <v>0</v>
      </c>
      <c r="H545" s="466">
        <v>0.067</v>
      </c>
      <c r="I545" s="467">
        <v>0.067</v>
      </c>
      <c r="J545" s="468">
        <v>0</v>
      </c>
    </row>
    <row r="546" spans="1:10" ht="12.75" outlineLevel="2">
      <c r="A546" s="645">
        <v>2140325014</v>
      </c>
      <c r="B546" s="635" t="s">
        <v>1270</v>
      </c>
      <c r="C546" s="635" t="s">
        <v>1247</v>
      </c>
      <c r="D546" s="635"/>
      <c r="E546" s="635" t="s">
        <v>1494</v>
      </c>
      <c r="F546" s="465" t="s">
        <v>96</v>
      </c>
      <c r="G546" s="466">
        <v>135</v>
      </c>
      <c r="H546" s="466">
        <v>285.1</v>
      </c>
      <c r="I546" s="467">
        <v>285.1</v>
      </c>
      <c r="J546" s="468">
        <v>0</v>
      </c>
    </row>
    <row r="547" spans="1:10" ht="12.75" outlineLevel="2">
      <c r="A547" s="645">
        <v>2140327013</v>
      </c>
      <c r="B547" s="635" t="s">
        <v>1271</v>
      </c>
      <c r="C547" s="635" t="s">
        <v>1238</v>
      </c>
      <c r="D547" s="635"/>
      <c r="E547" s="635" t="s">
        <v>1494</v>
      </c>
      <c r="F547" s="465" t="s">
        <v>96</v>
      </c>
      <c r="G547" s="466">
        <v>0</v>
      </c>
      <c r="H547" s="466">
        <v>10.203</v>
      </c>
      <c r="I547" s="467">
        <v>10.203</v>
      </c>
      <c r="J547" s="468">
        <v>0</v>
      </c>
    </row>
    <row r="548" spans="1:10" ht="12.75" outlineLevel="2">
      <c r="A548" s="645">
        <v>2140328001</v>
      </c>
      <c r="B548" s="635" t="s">
        <v>1272</v>
      </c>
      <c r="C548" s="635" t="s">
        <v>1559</v>
      </c>
      <c r="D548" s="635"/>
      <c r="E548" s="635" t="s">
        <v>1494</v>
      </c>
      <c r="F548" s="465" t="s">
        <v>1845</v>
      </c>
      <c r="G548" s="466">
        <v>5.7</v>
      </c>
      <c r="H548" s="466">
        <v>6.274</v>
      </c>
      <c r="I548" s="467">
        <v>6.274</v>
      </c>
      <c r="J548" s="468">
        <v>0</v>
      </c>
    </row>
    <row r="549" spans="1:10" ht="12.75" outlineLevel="2">
      <c r="A549" s="645">
        <v>2140328002</v>
      </c>
      <c r="B549" s="635" t="s">
        <v>1272</v>
      </c>
      <c r="C549" s="635" t="s">
        <v>419</v>
      </c>
      <c r="D549" s="635"/>
      <c r="E549" s="635" t="s">
        <v>1494</v>
      </c>
      <c r="F549" s="465" t="s">
        <v>1845</v>
      </c>
      <c r="G549" s="466">
        <v>0.7</v>
      </c>
      <c r="H549" s="466">
        <v>0.562</v>
      </c>
      <c r="I549" s="467">
        <v>0.562</v>
      </c>
      <c r="J549" s="468">
        <v>0</v>
      </c>
    </row>
    <row r="550" spans="1:10" ht="12.75" outlineLevel="2">
      <c r="A550" s="645">
        <v>2140328003</v>
      </c>
      <c r="B550" s="635" t="s">
        <v>1272</v>
      </c>
      <c r="C550" s="635" t="s">
        <v>421</v>
      </c>
      <c r="D550" s="635"/>
      <c r="E550" s="635" t="s">
        <v>1494</v>
      </c>
      <c r="F550" s="465" t="s">
        <v>1845</v>
      </c>
      <c r="G550" s="466">
        <v>0.9</v>
      </c>
      <c r="H550" s="466">
        <v>0.97</v>
      </c>
      <c r="I550" s="467">
        <v>0.97</v>
      </c>
      <c r="J550" s="468">
        <v>0</v>
      </c>
    </row>
    <row r="551" spans="1:10" ht="12.75" outlineLevel="2">
      <c r="A551" s="645">
        <v>2140328004</v>
      </c>
      <c r="B551" s="635" t="s">
        <v>1273</v>
      </c>
      <c r="C551" s="635" t="s">
        <v>421</v>
      </c>
      <c r="D551" s="635"/>
      <c r="E551" s="635" t="s">
        <v>1533</v>
      </c>
      <c r="F551" s="465" t="s">
        <v>1845</v>
      </c>
      <c r="G551" s="466">
        <v>0.05</v>
      </c>
      <c r="H551" s="466">
        <v>0</v>
      </c>
      <c r="I551" s="467">
        <v>0</v>
      </c>
      <c r="J551" s="468">
        <v>0</v>
      </c>
    </row>
    <row r="552" spans="1:10" ht="12.75" outlineLevel="2">
      <c r="A552" s="645">
        <v>2140328005</v>
      </c>
      <c r="B552" s="635" t="s">
        <v>1274</v>
      </c>
      <c r="C552" s="635" t="s">
        <v>421</v>
      </c>
      <c r="D552" s="635"/>
      <c r="E552" s="635" t="s">
        <v>1533</v>
      </c>
      <c r="F552" s="465" t="s">
        <v>1845</v>
      </c>
      <c r="G552" s="466">
        <v>0.02</v>
      </c>
      <c r="H552" s="466">
        <v>0</v>
      </c>
      <c r="I552" s="467">
        <v>0</v>
      </c>
      <c r="J552" s="468">
        <v>0</v>
      </c>
    </row>
    <row r="553" spans="1:10" ht="12.75" outlineLevel="2">
      <c r="A553" s="645">
        <v>2140328006</v>
      </c>
      <c r="B553" s="635" t="s">
        <v>2225</v>
      </c>
      <c r="C553" s="635" t="s">
        <v>1238</v>
      </c>
      <c r="D553" s="635"/>
      <c r="E553" s="635" t="s">
        <v>1494</v>
      </c>
      <c r="F553" s="465" t="s">
        <v>1845</v>
      </c>
      <c r="G553" s="466">
        <v>1.4</v>
      </c>
      <c r="H553" s="466">
        <v>1.4</v>
      </c>
      <c r="I553" s="467">
        <v>1.4</v>
      </c>
      <c r="J553" s="468">
        <v>0</v>
      </c>
    </row>
    <row r="554" spans="1:10" ht="12.75" outlineLevel="2">
      <c r="A554" s="645">
        <v>2140328007</v>
      </c>
      <c r="B554" s="635" t="s">
        <v>1275</v>
      </c>
      <c r="C554" s="635" t="s">
        <v>1238</v>
      </c>
      <c r="D554" s="635"/>
      <c r="E554" s="635" t="s">
        <v>1533</v>
      </c>
      <c r="F554" s="465" t="s">
        <v>96</v>
      </c>
      <c r="G554" s="466">
        <v>0.8</v>
      </c>
      <c r="H554" s="466">
        <v>0</v>
      </c>
      <c r="I554" s="467">
        <v>0</v>
      </c>
      <c r="J554" s="468">
        <v>0</v>
      </c>
    </row>
    <row r="555" spans="1:10" ht="12.75" outlineLevel="2">
      <c r="A555" s="645">
        <v>2140328008</v>
      </c>
      <c r="B555" s="635" t="s">
        <v>1276</v>
      </c>
      <c r="C555" s="635" t="s">
        <v>1238</v>
      </c>
      <c r="D555" s="635"/>
      <c r="E555" s="635" t="s">
        <v>1494</v>
      </c>
      <c r="F555" s="465" t="s">
        <v>96</v>
      </c>
      <c r="G555" s="466">
        <v>0.25</v>
      </c>
      <c r="H555" s="466">
        <v>0.143</v>
      </c>
      <c r="I555" s="467">
        <v>0.118</v>
      </c>
      <c r="J555" s="468">
        <v>0.025</v>
      </c>
    </row>
    <row r="556" spans="1:10" ht="12.75" outlineLevel="2">
      <c r="A556" s="645">
        <v>2140328009</v>
      </c>
      <c r="B556" s="635" t="s">
        <v>2225</v>
      </c>
      <c r="C556" s="635" t="s">
        <v>1240</v>
      </c>
      <c r="D556" s="635"/>
      <c r="E556" s="635" t="s">
        <v>1494</v>
      </c>
      <c r="F556" s="465" t="s">
        <v>1845</v>
      </c>
      <c r="G556" s="466">
        <v>1.9</v>
      </c>
      <c r="H556" s="466">
        <v>2.305</v>
      </c>
      <c r="I556" s="467">
        <v>2.304</v>
      </c>
      <c r="J556" s="468">
        <v>0.001</v>
      </c>
    </row>
    <row r="557" spans="1:10" ht="12.75" outlineLevel="2">
      <c r="A557" s="645">
        <v>2140328010</v>
      </c>
      <c r="B557" s="635" t="s">
        <v>1277</v>
      </c>
      <c r="C557" s="635" t="s">
        <v>1240</v>
      </c>
      <c r="D557" s="635"/>
      <c r="E557" s="635" t="s">
        <v>1533</v>
      </c>
      <c r="F557" s="465" t="s">
        <v>96</v>
      </c>
      <c r="G557" s="466">
        <v>0.3</v>
      </c>
      <c r="H557" s="466">
        <v>0</v>
      </c>
      <c r="I557" s="467">
        <v>0</v>
      </c>
      <c r="J557" s="468">
        <v>0</v>
      </c>
    </row>
    <row r="558" spans="1:10" ht="12.75" outlineLevel="2">
      <c r="A558" s="645">
        <v>2140328011</v>
      </c>
      <c r="B558" s="635" t="s">
        <v>1278</v>
      </c>
      <c r="C558" s="635" t="s">
        <v>1240</v>
      </c>
      <c r="D558" s="635"/>
      <c r="E558" s="635" t="s">
        <v>1494</v>
      </c>
      <c r="F558" s="465" t="s">
        <v>96</v>
      </c>
      <c r="G558" s="466">
        <v>0.3</v>
      </c>
      <c r="H558" s="466">
        <v>0.166</v>
      </c>
      <c r="I558" s="467">
        <v>0.165</v>
      </c>
      <c r="J558" s="468">
        <v>0.001</v>
      </c>
    </row>
    <row r="559" spans="1:10" ht="12.75" outlineLevel="2">
      <c r="A559" s="645">
        <v>2140328012</v>
      </c>
      <c r="B559" s="635" t="s">
        <v>2225</v>
      </c>
      <c r="C559" s="635" t="s">
        <v>1243</v>
      </c>
      <c r="D559" s="635"/>
      <c r="E559" s="635" t="s">
        <v>1494</v>
      </c>
      <c r="F559" s="465" t="s">
        <v>1845</v>
      </c>
      <c r="G559" s="466">
        <v>1.4</v>
      </c>
      <c r="H559" s="466">
        <v>1.422</v>
      </c>
      <c r="I559" s="467">
        <v>1.421</v>
      </c>
      <c r="J559" s="468">
        <v>0.001</v>
      </c>
    </row>
    <row r="560" spans="1:10" ht="12.75" outlineLevel="2">
      <c r="A560" s="645">
        <v>2140328013</v>
      </c>
      <c r="B560" s="635" t="s">
        <v>2225</v>
      </c>
      <c r="C560" s="635" t="s">
        <v>1247</v>
      </c>
      <c r="D560" s="635"/>
      <c r="E560" s="635" t="s">
        <v>1494</v>
      </c>
      <c r="F560" s="465" t="s">
        <v>1845</v>
      </c>
      <c r="G560" s="466">
        <v>1.4</v>
      </c>
      <c r="H560" s="466">
        <v>1.021</v>
      </c>
      <c r="I560" s="467">
        <v>1.009</v>
      </c>
      <c r="J560" s="468">
        <v>0.012</v>
      </c>
    </row>
    <row r="561" spans="1:10" ht="12.75" outlineLevel="2">
      <c r="A561" s="645">
        <v>2140328014</v>
      </c>
      <c r="B561" s="635" t="s">
        <v>1279</v>
      </c>
      <c r="C561" s="635" t="s">
        <v>1247</v>
      </c>
      <c r="D561" s="635"/>
      <c r="E561" s="635" t="s">
        <v>1533</v>
      </c>
      <c r="F561" s="465" t="s">
        <v>96</v>
      </c>
      <c r="G561" s="466">
        <v>0.2</v>
      </c>
      <c r="H561" s="466">
        <v>0</v>
      </c>
      <c r="I561" s="467">
        <v>0</v>
      </c>
      <c r="J561" s="468">
        <v>0</v>
      </c>
    </row>
    <row r="562" spans="1:10" ht="12.75" outlineLevel="2">
      <c r="A562" s="645">
        <v>2140328015</v>
      </c>
      <c r="B562" s="635" t="s">
        <v>1280</v>
      </c>
      <c r="C562" s="635" t="s">
        <v>1247</v>
      </c>
      <c r="D562" s="635"/>
      <c r="E562" s="635" t="s">
        <v>1533</v>
      </c>
      <c r="F562" s="465" t="s">
        <v>96</v>
      </c>
      <c r="G562" s="466">
        <v>0.2</v>
      </c>
      <c r="H562" s="466">
        <v>0</v>
      </c>
      <c r="I562" s="467">
        <v>0</v>
      </c>
      <c r="J562" s="468">
        <v>0</v>
      </c>
    </row>
    <row r="563" spans="1:10" ht="12.75" outlineLevel="2">
      <c r="A563" s="645">
        <v>2140328016</v>
      </c>
      <c r="B563" s="635" t="s">
        <v>744</v>
      </c>
      <c r="C563" s="635" t="s">
        <v>1247</v>
      </c>
      <c r="D563" s="635"/>
      <c r="E563" s="635" t="s">
        <v>1533</v>
      </c>
      <c r="F563" s="465" t="s">
        <v>96</v>
      </c>
      <c r="G563" s="466">
        <v>0.2</v>
      </c>
      <c r="H563" s="466">
        <v>0</v>
      </c>
      <c r="I563" s="467">
        <v>0</v>
      </c>
      <c r="J563" s="468">
        <v>0</v>
      </c>
    </row>
    <row r="564" spans="1:10" ht="12.75" outlineLevel="2">
      <c r="A564" s="645">
        <v>2140328017</v>
      </c>
      <c r="B564" s="635" t="s">
        <v>2225</v>
      </c>
      <c r="C564" s="635" t="s">
        <v>701</v>
      </c>
      <c r="D564" s="635"/>
      <c r="E564" s="635" t="s">
        <v>1494</v>
      </c>
      <c r="F564" s="465" t="s">
        <v>1845</v>
      </c>
      <c r="G564" s="466">
        <v>2.509</v>
      </c>
      <c r="H564" s="466">
        <v>2.472</v>
      </c>
      <c r="I564" s="467">
        <v>2.47</v>
      </c>
      <c r="J564" s="468">
        <v>0.002</v>
      </c>
    </row>
    <row r="565" spans="1:10" ht="12.75" outlineLevel="2">
      <c r="A565" s="645">
        <v>2140328018</v>
      </c>
      <c r="B565" s="635" t="s">
        <v>745</v>
      </c>
      <c r="C565" s="635" t="s">
        <v>701</v>
      </c>
      <c r="D565" s="635"/>
      <c r="E565" s="635" t="s">
        <v>1494</v>
      </c>
      <c r="F565" s="465" t="s">
        <v>96</v>
      </c>
      <c r="G565" s="466">
        <v>5</v>
      </c>
      <c r="H565" s="466">
        <v>5.932</v>
      </c>
      <c r="I565" s="467">
        <v>5.928</v>
      </c>
      <c r="J565" s="468">
        <v>0.004</v>
      </c>
    </row>
    <row r="566" spans="1:10" ht="12.75" outlineLevel="2">
      <c r="A566" s="645">
        <v>2140328019</v>
      </c>
      <c r="B566" s="635" t="s">
        <v>746</v>
      </c>
      <c r="C566" s="635" t="s">
        <v>701</v>
      </c>
      <c r="D566" s="635"/>
      <c r="E566" s="635" t="s">
        <v>1494</v>
      </c>
      <c r="F566" s="465" t="s">
        <v>96</v>
      </c>
      <c r="G566" s="466">
        <v>2.85</v>
      </c>
      <c r="H566" s="466">
        <v>2.85</v>
      </c>
      <c r="I566" s="467">
        <v>2.85</v>
      </c>
      <c r="J566" s="468">
        <v>0</v>
      </c>
    </row>
    <row r="567" spans="1:10" ht="12.75" outlineLevel="2">
      <c r="A567" s="645">
        <v>2140328020</v>
      </c>
      <c r="B567" s="635" t="s">
        <v>747</v>
      </c>
      <c r="C567" s="635" t="s">
        <v>701</v>
      </c>
      <c r="D567" s="635"/>
      <c r="E567" s="635" t="s">
        <v>1533</v>
      </c>
      <c r="F567" s="465" t="s">
        <v>96</v>
      </c>
      <c r="G567" s="466">
        <v>1.5</v>
      </c>
      <c r="H567" s="466">
        <v>0</v>
      </c>
      <c r="I567" s="467">
        <v>0</v>
      </c>
      <c r="J567" s="468">
        <v>0</v>
      </c>
    </row>
    <row r="568" spans="1:10" ht="12.75" outlineLevel="2">
      <c r="A568" s="645">
        <v>2140328021</v>
      </c>
      <c r="B568" s="635" t="s">
        <v>748</v>
      </c>
      <c r="C568" s="635" t="s">
        <v>1240</v>
      </c>
      <c r="D568" s="635"/>
      <c r="E568" s="635" t="s">
        <v>1494</v>
      </c>
      <c r="F568" s="465" t="s">
        <v>1845</v>
      </c>
      <c r="G568" s="466">
        <v>0</v>
      </c>
      <c r="H568" s="466">
        <v>0.501</v>
      </c>
      <c r="I568" s="467">
        <v>0.499</v>
      </c>
      <c r="J568" s="468">
        <v>0.002</v>
      </c>
    </row>
    <row r="569" spans="1:10" ht="12.75" outlineLevel="2">
      <c r="A569" s="645">
        <v>2140328021</v>
      </c>
      <c r="B569" s="635" t="s">
        <v>748</v>
      </c>
      <c r="C569" s="635" t="s">
        <v>1240</v>
      </c>
      <c r="D569" s="635"/>
      <c r="E569" s="635" t="s">
        <v>1494</v>
      </c>
      <c r="F569" s="465" t="s">
        <v>96</v>
      </c>
      <c r="G569" s="466">
        <v>5</v>
      </c>
      <c r="H569" s="466">
        <v>0.639</v>
      </c>
      <c r="I569" s="467">
        <v>0.638</v>
      </c>
      <c r="J569" s="468">
        <v>0.001</v>
      </c>
    </row>
    <row r="570" spans="1:10" ht="12.75" outlineLevel="2">
      <c r="A570" s="645">
        <v>2140328022</v>
      </c>
      <c r="B570" s="635" t="s">
        <v>749</v>
      </c>
      <c r="C570" s="635" t="s">
        <v>419</v>
      </c>
      <c r="D570" s="635"/>
      <c r="E570" s="635" t="s">
        <v>1494</v>
      </c>
      <c r="F570" s="465" t="s">
        <v>96</v>
      </c>
      <c r="G570" s="466">
        <v>0</v>
      </c>
      <c r="H570" s="466">
        <v>0.277</v>
      </c>
      <c r="I570" s="467">
        <v>0.277</v>
      </c>
      <c r="J570" s="468">
        <v>0</v>
      </c>
    </row>
    <row r="571" spans="1:10" ht="12.75" outlineLevel="2">
      <c r="A571" s="645">
        <v>2140328023</v>
      </c>
      <c r="B571" s="635" t="s">
        <v>750</v>
      </c>
      <c r="C571" s="635" t="s">
        <v>421</v>
      </c>
      <c r="D571" s="635"/>
      <c r="E571" s="635" t="s">
        <v>1494</v>
      </c>
      <c r="F571" s="465" t="s">
        <v>96</v>
      </c>
      <c r="G571" s="466">
        <v>0</v>
      </c>
      <c r="H571" s="466">
        <v>0.069</v>
      </c>
      <c r="I571" s="467">
        <v>0.068</v>
      </c>
      <c r="J571" s="468">
        <v>0.001</v>
      </c>
    </row>
    <row r="572" spans="1:10" ht="12.75" outlineLevel="2">
      <c r="A572" s="645">
        <v>2140328024</v>
      </c>
      <c r="B572" s="635" t="s">
        <v>751</v>
      </c>
      <c r="C572" s="635" t="s">
        <v>1247</v>
      </c>
      <c r="D572" s="635"/>
      <c r="E572" s="635" t="s">
        <v>1494</v>
      </c>
      <c r="F572" s="465" t="s">
        <v>96</v>
      </c>
      <c r="G572" s="466">
        <v>0</v>
      </c>
      <c r="H572" s="466">
        <v>0.315</v>
      </c>
      <c r="I572" s="467">
        <v>0.314</v>
      </c>
      <c r="J572" s="468">
        <v>0.001</v>
      </c>
    </row>
    <row r="573" spans="1:10" ht="12.75" outlineLevel="2">
      <c r="A573" s="645">
        <v>2140328025</v>
      </c>
      <c r="B573" s="635" t="s">
        <v>621</v>
      </c>
      <c r="C573" s="635" t="s">
        <v>1247</v>
      </c>
      <c r="D573" s="635"/>
      <c r="E573" s="635" t="s">
        <v>1494</v>
      </c>
      <c r="F573" s="465" t="s">
        <v>96</v>
      </c>
      <c r="G573" s="466">
        <v>0</v>
      </c>
      <c r="H573" s="466">
        <v>0.057</v>
      </c>
      <c r="I573" s="467">
        <v>0.056</v>
      </c>
      <c r="J573" s="468">
        <v>0.001</v>
      </c>
    </row>
    <row r="574" spans="1:10" ht="12.75" outlineLevel="2">
      <c r="A574" s="645">
        <v>2140328026</v>
      </c>
      <c r="B574" s="635" t="s">
        <v>622</v>
      </c>
      <c r="C574" s="635" t="s">
        <v>421</v>
      </c>
      <c r="D574" s="635"/>
      <c r="E574" s="635" t="s">
        <v>1494</v>
      </c>
      <c r="F574" s="465" t="s">
        <v>96</v>
      </c>
      <c r="G574" s="466">
        <v>0</v>
      </c>
      <c r="H574" s="466">
        <v>20.008</v>
      </c>
      <c r="I574" s="467">
        <v>20.008</v>
      </c>
      <c r="J574" s="468">
        <v>0</v>
      </c>
    </row>
    <row r="575" spans="1:10" ht="12.75" outlineLevel="2">
      <c r="A575" s="645">
        <v>2140338001</v>
      </c>
      <c r="B575" s="635" t="s">
        <v>623</v>
      </c>
      <c r="C575" s="635" t="s">
        <v>1559</v>
      </c>
      <c r="D575" s="635"/>
      <c r="E575" s="635" t="s">
        <v>1494</v>
      </c>
      <c r="F575" s="465" t="s">
        <v>1845</v>
      </c>
      <c r="G575" s="466">
        <v>0.6</v>
      </c>
      <c r="H575" s="466">
        <v>0.25</v>
      </c>
      <c r="I575" s="467">
        <v>0.25</v>
      </c>
      <c r="J575" s="468">
        <v>0</v>
      </c>
    </row>
    <row r="576" spans="1:10" ht="12.75" outlineLevel="2">
      <c r="A576" s="645">
        <v>2140338002</v>
      </c>
      <c r="B576" s="635" t="s">
        <v>2226</v>
      </c>
      <c r="C576" s="635" t="s">
        <v>419</v>
      </c>
      <c r="D576" s="635"/>
      <c r="E576" s="635" t="s">
        <v>1494</v>
      </c>
      <c r="F576" s="465" t="s">
        <v>1845</v>
      </c>
      <c r="G576" s="466">
        <v>0.62</v>
      </c>
      <c r="H576" s="466">
        <v>0.201</v>
      </c>
      <c r="I576" s="467">
        <v>0.2</v>
      </c>
      <c r="J576" s="468">
        <v>0.001</v>
      </c>
    </row>
    <row r="577" spans="1:10" ht="12.75" outlineLevel="2">
      <c r="A577" s="645">
        <v>2140338002</v>
      </c>
      <c r="B577" s="635" t="s">
        <v>2226</v>
      </c>
      <c r="C577" s="635" t="s">
        <v>419</v>
      </c>
      <c r="D577" s="635"/>
      <c r="E577" s="635" t="s">
        <v>1494</v>
      </c>
      <c r="F577" s="465" t="s">
        <v>332</v>
      </c>
      <c r="G577" s="466">
        <v>0</v>
      </c>
      <c r="H577" s="466">
        <v>0</v>
      </c>
      <c r="I577" s="467">
        <v>0.01</v>
      </c>
      <c r="J577" s="468">
        <v>0</v>
      </c>
    </row>
    <row r="578" spans="1:10" ht="12.75" outlineLevel="2">
      <c r="A578" s="645">
        <v>2140338003</v>
      </c>
      <c r="B578" s="635" t="s">
        <v>624</v>
      </c>
      <c r="C578" s="635" t="s">
        <v>419</v>
      </c>
      <c r="D578" s="635"/>
      <c r="E578" s="635" t="s">
        <v>1494</v>
      </c>
      <c r="F578" s="465" t="s">
        <v>1845</v>
      </c>
      <c r="G578" s="466">
        <v>0.5</v>
      </c>
      <c r="H578" s="466">
        <v>0</v>
      </c>
      <c r="I578" s="467">
        <v>0</v>
      </c>
      <c r="J578" s="468">
        <v>0</v>
      </c>
    </row>
    <row r="579" spans="1:10" ht="12.75" outlineLevel="2">
      <c r="A579" s="645">
        <v>2140338003</v>
      </c>
      <c r="B579" s="635" t="s">
        <v>624</v>
      </c>
      <c r="C579" s="635" t="s">
        <v>419</v>
      </c>
      <c r="D579" s="635"/>
      <c r="E579" s="635" t="s">
        <v>1494</v>
      </c>
      <c r="F579" s="465" t="s">
        <v>96</v>
      </c>
      <c r="G579" s="466">
        <v>0</v>
      </c>
      <c r="H579" s="466">
        <v>1.089</v>
      </c>
      <c r="I579" s="467">
        <v>1.088</v>
      </c>
      <c r="J579" s="468">
        <v>0.001</v>
      </c>
    </row>
    <row r="580" spans="1:10" ht="12.75" outlineLevel="2">
      <c r="A580" s="645">
        <v>2140338004</v>
      </c>
      <c r="B580" s="635" t="s">
        <v>2226</v>
      </c>
      <c r="C580" s="635" t="s">
        <v>421</v>
      </c>
      <c r="D580" s="635"/>
      <c r="E580" s="635" t="s">
        <v>1494</v>
      </c>
      <c r="F580" s="465" t="s">
        <v>1845</v>
      </c>
      <c r="G580" s="466">
        <v>0.3</v>
      </c>
      <c r="H580" s="466">
        <v>0.06</v>
      </c>
      <c r="I580" s="467">
        <v>0.06</v>
      </c>
      <c r="J580" s="468">
        <v>0</v>
      </c>
    </row>
    <row r="581" spans="1:10" ht="12.75" outlineLevel="2">
      <c r="A581" s="645">
        <v>2140338005</v>
      </c>
      <c r="B581" s="635" t="s">
        <v>625</v>
      </c>
      <c r="C581" s="635" t="s">
        <v>421</v>
      </c>
      <c r="D581" s="635"/>
      <c r="E581" s="635" t="s">
        <v>1533</v>
      </c>
      <c r="F581" s="465" t="s">
        <v>96</v>
      </c>
      <c r="G581" s="466">
        <v>0.1</v>
      </c>
      <c r="H581" s="466">
        <v>0</v>
      </c>
      <c r="I581" s="467">
        <v>0</v>
      </c>
      <c r="J581" s="468">
        <v>0</v>
      </c>
    </row>
    <row r="582" spans="1:10" ht="12.75" outlineLevel="2">
      <c r="A582" s="645">
        <v>2140338006</v>
      </c>
      <c r="B582" s="635" t="s">
        <v>624</v>
      </c>
      <c r="C582" s="635" t="s">
        <v>421</v>
      </c>
      <c r="D582" s="635"/>
      <c r="E582" s="635" t="s">
        <v>1533</v>
      </c>
      <c r="F582" s="465" t="s">
        <v>1845</v>
      </c>
      <c r="G582" s="466">
        <v>0.5</v>
      </c>
      <c r="H582" s="466">
        <v>0</v>
      </c>
      <c r="I582" s="467">
        <v>0</v>
      </c>
      <c r="J582" s="468">
        <v>0</v>
      </c>
    </row>
    <row r="583" spans="1:10" ht="12.75" outlineLevel="2">
      <c r="A583" s="645">
        <v>2140338007</v>
      </c>
      <c r="B583" s="635" t="s">
        <v>626</v>
      </c>
      <c r="C583" s="635" t="s">
        <v>421</v>
      </c>
      <c r="D583" s="635"/>
      <c r="E583" s="635" t="s">
        <v>1533</v>
      </c>
      <c r="F583" s="465" t="s">
        <v>96</v>
      </c>
      <c r="G583" s="466">
        <v>0.5</v>
      </c>
      <c r="H583" s="466">
        <v>0</v>
      </c>
      <c r="I583" s="467">
        <v>0</v>
      </c>
      <c r="J583" s="468">
        <v>0</v>
      </c>
    </row>
    <row r="584" spans="1:10" ht="12.75" outlineLevel="2">
      <c r="A584" s="645">
        <v>2140338008</v>
      </c>
      <c r="B584" s="635" t="s">
        <v>2226</v>
      </c>
      <c r="C584" s="635" t="s">
        <v>1238</v>
      </c>
      <c r="D584" s="635"/>
      <c r="E584" s="635" t="s">
        <v>1494</v>
      </c>
      <c r="F584" s="465" t="s">
        <v>1845</v>
      </c>
      <c r="G584" s="466">
        <v>0.71</v>
      </c>
      <c r="H584" s="466">
        <v>0.305</v>
      </c>
      <c r="I584" s="467">
        <v>0.305</v>
      </c>
      <c r="J584" s="468">
        <v>0</v>
      </c>
    </row>
    <row r="585" spans="1:10" ht="12.75" outlineLevel="2">
      <c r="A585" s="645">
        <v>2140338009</v>
      </c>
      <c r="B585" s="635" t="s">
        <v>625</v>
      </c>
      <c r="C585" s="635" t="s">
        <v>1238</v>
      </c>
      <c r="D585" s="635"/>
      <c r="E585" s="635" t="s">
        <v>1494</v>
      </c>
      <c r="F585" s="465" t="s">
        <v>96</v>
      </c>
      <c r="G585" s="466">
        <v>0.25</v>
      </c>
      <c r="H585" s="466">
        <v>0.123</v>
      </c>
      <c r="I585" s="467">
        <v>0.123</v>
      </c>
      <c r="J585" s="468">
        <v>0</v>
      </c>
    </row>
    <row r="586" spans="1:10" ht="12.75" outlineLevel="2">
      <c r="A586" s="645">
        <v>2140338010</v>
      </c>
      <c r="B586" s="635" t="s">
        <v>627</v>
      </c>
      <c r="C586" s="635" t="s">
        <v>1238</v>
      </c>
      <c r="D586" s="635"/>
      <c r="E586" s="635" t="s">
        <v>1494</v>
      </c>
      <c r="F586" s="465" t="s">
        <v>1845</v>
      </c>
      <c r="G586" s="466">
        <v>0</v>
      </c>
      <c r="H586" s="466">
        <v>0.08</v>
      </c>
      <c r="I586" s="467">
        <v>0.08</v>
      </c>
      <c r="J586" s="468">
        <v>0</v>
      </c>
    </row>
    <row r="587" spans="1:10" ht="12.75" outlineLevel="2">
      <c r="A587" s="645">
        <v>2140338010</v>
      </c>
      <c r="B587" s="635" t="s">
        <v>627</v>
      </c>
      <c r="C587" s="635" t="s">
        <v>1238</v>
      </c>
      <c r="D587" s="635"/>
      <c r="E587" s="635" t="s">
        <v>1494</v>
      </c>
      <c r="F587" s="465" t="s">
        <v>96</v>
      </c>
      <c r="G587" s="466">
        <v>0.08</v>
      </c>
      <c r="H587" s="466">
        <v>0</v>
      </c>
      <c r="I587" s="467">
        <v>0</v>
      </c>
      <c r="J587" s="468">
        <v>0</v>
      </c>
    </row>
    <row r="588" spans="1:10" ht="12.75" outlineLevel="2">
      <c r="A588" s="645">
        <v>2140338011</v>
      </c>
      <c r="B588" s="635" t="s">
        <v>628</v>
      </c>
      <c r="C588" s="635" t="s">
        <v>1238</v>
      </c>
      <c r="D588" s="635"/>
      <c r="E588" s="635" t="s">
        <v>1533</v>
      </c>
      <c r="F588" s="465" t="s">
        <v>1845</v>
      </c>
      <c r="G588" s="466">
        <v>0.5</v>
      </c>
      <c r="H588" s="466">
        <v>0</v>
      </c>
      <c r="I588" s="467">
        <v>0</v>
      </c>
      <c r="J588" s="468">
        <v>0</v>
      </c>
    </row>
    <row r="589" spans="1:10" ht="12.75" outlineLevel="2">
      <c r="A589" s="645">
        <v>2140338012</v>
      </c>
      <c r="B589" s="635" t="s">
        <v>2226</v>
      </c>
      <c r="C589" s="635" t="s">
        <v>1240</v>
      </c>
      <c r="D589" s="635"/>
      <c r="E589" s="635" t="s">
        <v>1494</v>
      </c>
      <c r="F589" s="465" t="s">
        <v>1845</v>
      </c>
      <c r="G589" s="466">
        <v>0.3</v>
      </c>
      <c r="H589" s="466">
        <v>0.189</v>
      </c>
      <c r="I589" s="467">
        <v>0.186</v>
      </c>
      <c r="J589" s="468">
        <v>0.003</v>
      </c>
    </row>
    <row r="590" spans="1:10" ht="12.75" outlineLevel="2">
      <c r="A590" s="645">
        <v>2140338013</v>
      </c>
      <c r="B590" s="635" t="s">
        <v>629</v>
      </c>
      <c r="C590" s="635" t="s">
        <v>1240</v>
      </c>
      <c r="D590" s="635"/>
      <c r="E590" s="635" t="s">
        <v>1494</v>
      </c>
      <c r="F590" s="465" t="s">
        <v>96</v>
      </c>
      <c r="G590" s="466">
        <v>0.5</v>
      </c>
      <c r="H590" s="466">
        <v>1.213</v>
      </c>
      <c r="I590" s="467">
        <v>1.206</v>
      </c>
      <c r="J590" s="468">
        <v>0.007</v>
      </c>
    </row>
    <row r="591" spans="1:10" ht="12.75" outlineLevel="2">
      <c r="A591" s="645">
        <v>2140338014</v>
      </c>
      <c r="B591" s="635" t="s">
        <v>625</v>
      </c>
      <c r="C591" s="635" t="s">
        <v>1240</v>
      </c>
      <c r="D591" s="635"/>
      <c r="E591" s="635" t="s">
        <v>1494</v>
      </c>
      <c r="F591" s="465" t="s">
        <v>1845</v>
      </c>
      <c r="G591" s="466">
        <v>0.02</v>
      </c>
      <c r="H591" s="466">
        <v>0.039</v>
      </c>
      <c r="I591" s="467">
        <v>0.038</v>
      </c>
      <c r="J591" s="468">
        <v>0.001</v>
      </c>
    </row>
    <row r="592" spans="1:10" ht="12.75" outlineLevel="2">
      <c r="A592" s="645">
        <v>2140338015</v>
      </c>
      <c r="B592" s="635" t="s">
        <v>630</v>
      </c>
      <c r="C592" s="635" t="s">
        <v>1240</v>
      </c>
      <c r="D592" s="635"/>
      <c r="E592" s="635" t="s">
        <v>1494</v>
      </c>
      <c r="F592" s="465" t="s">
        <v>1845</v>
      </c>
      <c r="G592" s="466">
        <v>0.08</v>
      </c>
      <c r="H592" s="466">
        <v>0.102</v>
      </c>
      <c r="I592" s="467">
        <v>0.102</v>
      </c>
      <c r="J592" s="468">
        <v>0</v>
      </c>
    </row>
    <row r="593" spans="1:10" ht="12.75" outlineLevel="2">
      <c r="A593" s="645">
        <v>2140338015</v>
      </c>
      <c r="B593" s="635" t="s">
        <v>630</v>
      </c>
      <c r="C593" s="635" t="s">
        <v>1240</v>
      </c>
      <c r="D593" s="635"/>
      <c r="E593" s="635" t="s">
        <v>1494</v>
      </c>
      <c r="F593" s="465" t="s">
        <v>96</v>
      </c>
      <c r="G593" s="466">
        <v>0.07</v>
      </c>
      <c r="H593" s="466">
        <v>0.045</v>
      </c>
      <c r="I593" s="467">
        <v>0.045</v>
      </c>
      <c r="J593" s="468">
        <v>0</v>
      </c>
    </row>
    <row r="594" spans="1:10" ht="12.75" outlineLevel="2">
      <c r="A594" s="645">
        <v>2140338016</v>
      </c>
      <c r="B594" s="635" t="s">
        <v>628</v>
      </c>
      <c r="C594" s="635" t="s">
        <v>1240</v>
      </c>
      <c r="D594" s="635"/>
      <c r="E594" s="635" t="s">
        <v>1494</v>
      </c>
      <c r="F594" s="465" t="s">
        <v>1845</v>
      </c>
      <c r="G594" s="466">
        <v>0.5</v>
      </c>
      <c r="H594" s="466">
        <v>0.544</v>
      </c>
      <c r="I594" s="467">
        <v>0.544</v>
      </c>
      <c r="J594" s="468">
        <v>0</v>
      </c>
    </row>
    <row r="595" spans="1:10" ht="12.75" outlineLevel="2">
      <c r="A595" s="645">
        <v>2140338017</v>
      </c>
      <c r="B595" s="635" t="s">
        <v>631</v>
      </c>
      <c r="C595" s="635" t="s">
        <v>1240</v>
      </c>
      <c r="D595" s="635"/>
      <c r="E595" s="635" t="s">
        <v>1494</v>
      </c>
      <c r="F595" s="465" t="s">
        <v>96</v>
      </c>
      <c r="G595" s="466">
        <v>0.22</v>
      </c>
      <c r="H595" s="466">
        <v>0.091</v>
      </c>
      <c r="I595" s="467">
        <v>0.091</v>
      </c>
      <c r="J595" s="468">
        <v>0</v>
      </c>
    </row>
    <row r="596" spans="1:10" ht="12.75" outlineLevel="2">
      <c r="A596" s="645">
        <v>2140338018</v>
      </c>
      <c r="B596" s="635" t="s">
        <v>632</v>
      </c>
      <c r="C596" s="635" t="s">
        <v>1240</v>
      </c>
      <c r="D596" s="635"/>
      <c r="E596" s="635" t="s">
        <v>1494</v>
      </c>
      <c r="F596" s="465" t="s">
        <v>96</v>
      </c>
      <c r="G596" s="466">
        <v>0.24</v>
      </c>
      <c r="H596" s="466">
        <v>0.116</v>
      </c>
      <c r="I596" s="467">
        <v>0.115</v>
      </c>
      <c r="J596" s="468">
        <v>0.001</v>
      </c>
    </row>
    <row r="597" spans="1:10" ht="12.75" outlineLevel="2">
      <c r="A597" s="645">
        <v>2140338019</v>
      </c>
      <c r="B597" s="635" t="s">
        <v>775</v>
      </c>
      <c r="C597" s="635" t="s">
        <v>1240</v>
      </c>
      <c r="D597" s="635"/>
      <c r="E597" s="635" t="s">
        <v>1494</v>
      </c>
      <c r="F597" s="465" t="s">
        <v>96</v>
      </c>
      <c r="G597" s="466">
        <v>0.15</v>
      </c>
      <c r="H597" s="466">
        <v>0</v>
      </c>
      <c r="I597" s="467">
        <v>0</v>
      </c>
      <c r="J597" s="468">
        <v>0</v>
      </c>
    </row>
    <row r="598" spans="1:10" ht="12.75" outlineLevel="2">
      <c r="A598" s="645">
        <v>2140338020</v>
      </c>
      <c r="B598" s="635" t="s">
        <v>776</v>
      </c>
      <c r="C598" s="635" t="s">
        <v>1240</v>
      </c>
      <c r="D598" s="635"/>
      <c r="E598" s="635" t="s">
        <v>1494</v>
      </c>
      <c r="F598" s="465" t="s">
        <v>1845</v>
      </c>
      <c r="G598" s="466">
        <v>0.04</v>
      </c>
      <c r="H598" s="466">
        <v>0.059</v>
      </c>
      <c r="I598" s="467">
        <v>0.059</v>
      </c>
      <c r="J598" s="468">
        <v>0</v>
      </c>
    </row>
    <row r="599" spans="1:10" ht="12.75" outlineLevel="2">
      <c r="A599" s="645">
        <v>2140338020</v>
      </c>
      <c r="B599" s="635" t="s">
        <v>776</v>
      </c>
      <c r="C599" s="635" t="s">
        <v>1240</v>
      </c>
      <c r="D599" s="635"/>
      <c r="E599" s="635" t="s">
        <v>1494</v>
      </c>
      <c r="F599" s="465" t="s">
        <v>96</v>
      </c>
      <c r="G599" s="466">
        <v>0.04</v>
      </c>
      <c r="H599" s="466">
        <v>0</v>
      </c>
      <c r="I599" s="467">
        <v>0</v>
      </c>
      <c r="J599" s="468">
        <v>0</v>
      </c>
    </row>
    <row r="600" spans="1:10" ht="12.75" outlineLevel="2">
      <c r="A600" s="645">
        <v>2140338021</v>
      </c>
      <c r="B600" s="635" t="s">
        <v>2226</v>
      </c>
      <c r="C600" s="635" t="s">
        <v>1243</v>
      </c>
      <c r="D600" s="635"/>
      <c r="E600" s="635" t="s">
        <v>1494</v>
      </c>
      <c r="F600" s="465" t="s">
        <v>1845</v>
      </c>
      <c r="G600" s="466">
        <v>0.775</v>
      </c>
      <c r="H600" s="466">
        <v>0.775</v>
      </c>
      <c r="I600" s="467">
        <v>0.775</v>
      </c>
      <c r="J600" s="468">
        <v>0</v>
      </c>
    </row>
    <row r="601" spans="1:10" ht="12.75" outlineLevel="2">
      <c r="A601" s="645">
        <v>2140338022</v>
      </c>
      <c r="B601" s="635" t="s">
        <v>625</v>
      </c>
      <c r="C601" s="635" t="s">
        <v>1243</v>
      </c>
      <c r="D601" s="635"/>
      <c r="E601" s="635" t="s">
        <v>1494</v>
      </c>
      <c r="F601" s="465" t="s">
        <v>96</v>
      </c>
      <c r="G601" s="466">
        <v>0.1</v>
      </c>
      <c r="H601" s="466">
        <v>0.1</v>
      </c>
      <c r="I601" s="467">
        <v>0.1</v>
      </c>
      <c r="J601" s="468">
        <v>0</v>
      </c>
    </row>
    <row r="602" spans="1:10" ht="12.75" outlineLevel="2">
      <c r="A602" s="645">
        <v>2140338023</v>
      </c>
      <c r="B602" s="635" t="s">
        <v>2226</v>
      </c>
      <c r="C602" s="635" t="s">
        <v>701</v>
      </c>
      <c r="D602" s="635"/>
      <c r="E602" s="635" t="s">
        <v>1494</v>
      </c>
      <c r="F602" s="465" t="s">
        <v>1845</v>
      </c>
      <c r="G602" s="466">
        <v>0.65</v>
      </c>
      <c r="H602" s="466">
        <v>0.67</v>
      </c>
      <c r="I602" s="467">
        <v>0.666</v>
      </c>
      <c r="J602" s="468">
        <v>0.004</v>
      </c>
    </row>
    <row r="603" spans="1:10" ht="12.75" outlineLevel="2">
      <c r="A603" s="645">
        <v>2140338024</v>
      </c>
      <c r="B603" s="635" t="s">
        <v>2226</v>
      </c>
      <c r="C603" s="635" t="s">
        <v>1247</v>
      </c>
      <c r="D603" s="635"/>
      <c r="E603" s="635" t="s">
        <v>1494</v>
      </c>
      <c r="F603" s="465" t="s">
        <v>1845</v>
      </c>
      <c r="G603" s="466">
        <v>0</v>
      </c>
      <c r="H603" s="466">
        <v>0.4</v>
      </c>
      <c r="I603" s="467">
        <v>0.394</v>
      </c>
      <c r="J603" s="468">
        <v>0.006</v>
      </c>
    </row>
    <row r="604" spans="1:10" ht="12.75" outlineLevel="2">
      <c r="A604" s="645">
        <v>2140338025</v>
      </c>
      <c r="B604" s="635" t="s">
        <v>777</v>
      </c>
      <c r="C604" s="635" t="s">
        <v>419</v>
      </c>
      <c r="D604" s="635"/>
      <c r="E604" s="635" t="s">
        <v>1494</v>
      </c>
      <c r="F604" s="465" t="s">
        <v>96</v>
      </c>
      <c r="G604" s="466">
        <v>0</v>
      </c>
      <c r="H604" s="466">
        <v>1.91</v>
      </c>
      <c r="I604" s="467">
        <v>1.91</v>
      </c>
      <c r="J604" s="468">
        <v>0</v>
      </c>
    </row>
    <row r="605" spans="1:10" ht="12.75" outlineLevel="2">
      <c r="A605" s="645">
        <v>2140338026</v>
      </c>
      <c r="B605" s="635" t="s">
        <v>778</v>
      </c>
      <c r="C605" s="635" t="s">
        <v>1243</v>
      </c>
      <c r="D605" s="635"/>
      <c r="E605" s="635" t="s">
        <v>1494</v>
      </c>
      <c r="F605" s="465" t="s">
        <v>96</v>
      </c>
      <c r="G605" s="466">
        <v>0</v>
      </c>
      <c r="H605" s="466">
        <v>0.787</v>
      </c>
      <c r="I605" s="467">
        <v>0.787</v>
      </c>
      <c r="J605" s="468">
        <v>0</v>
      </c>
    </row>
    <row r="606" spans="1:10" ht="12.75" outlineLevel="2">
      <c r="A606" s="645">
        <v>2140338027</v>
      </c>
      <c r="B606" s="635" t="s">
        <v>779</v>
      </c>
      <c r="C606" s="635" t="s">
        <v>419</v>
      </c>
      <c r="D606" s="635"/>
      <c r="E606" s="635" t="s">
        <v>1494</v>
      </c>
      <c r="F606" s="465" t="s">
        <v>1845</v>
      </c>
      <c r="G606" s="466">
        <v>0</v>
      </c>
      <c r="H606" s="466">
        <v>0.037</v>
      </c>
      <c r="I606" s="467">
        <v>0.037</v>
      </c>
      <c r="J606" s="468">
        <v>0</v>
      </c>
    </row>
    <row r="607" spans="1:10" ht="12.75" outlineLevel="2">
      <c r="A607" s="645">
        <v>2140338027</v>
      </c>
      <c r="B607" s="635" t="s">
        <v>779</v>
      </c>
      <c r="C607" s="635" t="s">
        <v>419</v>
      </c>
      <c r="D607" s="635"/>
      <c r="E607" s="635" t="s">
        <v>1494</v>
      </c>
      <c r="F607" s="465" t="s">
        <v>96</v>
      </c>
      <c r="G607" s="466">
        <v>0</v>
      </c>
      <c r="H607" s="466">
        <v>0.096</v>
      </c>
      <c r="I607" s="467">
        <v>0.095</v>
      </c>
      <c r="J607" s="468">
        <v>0.001</v>
      </c>
    </row>
    <row r="608" spans="1:10" ht="12.75" outlineLevel="2">
      <c r="A608" s="645">
        <v>2140338028</v>
      </c>
      <c r="B608" s="635" t="s">
        <v>778</v>
      </c>
      <c r="C608" s="635" t="s">
        <v>419</v>
      </c>
      <c r="D608" s="635"/>
      <c r="E608" s="635" t="s">
        <v>1494</v>
      </c>
      <c r="F608" s="465" t="s">
        <v>96</v>
      </c>
      <c r="G608" s="466">
        <v>0</v>
      </c>
      <c r="H608" s="466">
        <v>0.7</v>
      </c>
      <c r="I608" s="467">
        <v>0.7</v>
      </c>
      <c r="J608" s="468">
        <v>0</v>
      </c>
    </row>
    <row r="609" spans="1:10" ht="13.5" outlineLevel="2" thickBot="1">
      <c r="A609" s="646">
        <v>2140338029</v>
      </c>
      <c r="B609" s="636" t="s">
        <v>780</v>
      </c>
      <c r="C609" s="636" t="s">
        <v>1238</v>
      </c>
      <c r="D609" s="636"/>
      <c r="E609" s="636" t="s">
        <v>1494</v>
      </c>
      <c r="F609" s="469" t="s">
        <v>96</v>
      </c>
      <c r="G609" s="470">
        <v>0</v>
      </c>
      <c r="H609" s="470">
        <v>1</v>
      </c>
      <c r="I609" s="471">
        <v>0.998</v>
      </c>
      <c r="J609" s="472">
        <v>0.002</v>
      </c>
    </row>
    <row r="610" spans="1:10" s="149" customFormat="1" ht="13.5" outlineLevel="1" thickBot="1">
      <c r="A610" s="648" t="s">
        <v>781</v>
      </c>
      <c r="B610" s="637"/>
      <c r="C610" s="637"/>
      <c r="D610" s="637"/>
      <c r="E610" s="637"/>
      <c r="F610" s="458"/>
      <c r="G610" s="459">
        <f>SUBTOTAL(9,G475:G609)</f>
        <v>199.95200000000008</v>
      </c>
      <c r="H610" s="459">
        <f>SUBTOTAL(9,H475:H609)</f>
        <v>386.382</v>
      </c>
      <c r="I610" s="473">
        <f>SUBTOTAL(9,I475:I609)</f>
        <v>386.175</v>
      </c>
      <c r="J610" s="474">
        <f>SUBTOTAL(9,J475:J609)</f>
        <v>0.21700000000000008</v>
      </c>
    </row>
    <row r="611" spans="1:10" ht="12.75" outlineLevel="2">
      <c r="A611" s="644">
        <v>2141115269</v>
      </c>
      <c r="B611" s="634" t="s">
        <v>782</v>
      </c>
      <c r="C611" s="634" t="s">
        <v>1774</v>
      </c>
      <c r="D611" s="634"/>
      <c r="E611" s="634" t="s">
        <v>1494</v>
      </c>
      <c r="F611" s="461" t="s">
        <v>1845</v>
      </c>
      <c r="G611" s="462">
        <v>1.556</v>
      </c>
      <c r="H611" s="462">
        <v>1.556</v>
      </c>
      <c r="I611" s="463">
        <v>0</v>
      </c>
      <c r="J611" s="464">
        <v>18.945</v>
      </c>
    </row>
    <row r="612" spans="1:10" ht="12.75" outlineLevel="2">
      <c r="A612" s="645">
        <v>2141115269</v>
      </c>
      <c r="B612" s="635" t="s">
        <v>782</v>
      </c>
      <c r="C612" s="635" t="s">
        <v>1774</v>
      </c>
      <c r="D612" s="635"/>
      <c r="E612" s="635" t="s">
        <v>1494</v>
      </c>
      <c r="F612" s="465" t="s">
        <v>332</v>
      </c>
      <c r="G612" s="466">
        <v>0</v>
      </c>
      <c r="H612" s="466">
        <v>0</v>
      </c>
      <c r="I612" s="467">
        <v>25.674</v>
      </c>
      <c r="J612" s="468">
        <v>0</v>
      </c>
    </row>
    <row r="613" spans="1:10" ht="12.75" outlineLevel="2">
      <c r="A613" s="645">
        <v>2141115269</v>
      </c>
      <c r="B613" s="635" t="s">
        <v>782</v>
      </c>
      <c r="C613" s="635" t="s">
        <v>1774</v>
      </c>
      <c r="D613" s="635"/>
      <c r="E613" s="635" t="s">
        <v>1494</v>
      </c>
      <c r="F613" s="465" t="s">
        <v>333</v>
      </c>
      <c r="G613" s="466">
        <v>0</v>
      </c>
      <c r="H613" s="466">
        <v>0</v>
      </c>
      <c r="I613" s="467">
        <v>22.977</v>
      </c>
      <c r="J613" s="468">
        <v>0</v>
      </c>
    </row>
    <row r="614" spans="1:10" ht="12.75" outlineLevel="2">
      <c r="A614" s="645">
        <v>2141115270</v>
      </c>
      <c r="B614" s="635" t="s">
        <v>783</v>
      </c>
      <c r="C614" s="635" t="s">
        <v>1774</v>
      </c>
      <c r="D614" s="635"/>
      <c r="E614" s="635" t="s">
        <v>1494</v>
      </c>
      <c r="F614" s="465" t="s">
        <v>1845</v>
      </c>
      <c r="G614" s="466">
        <v>16.7</v>
      </c>
      <c r="H614" s="466">
        <v>14.919</v>
      </c>
      <c r="I614" s="467">
        <v>3.716</v>
      </c>
      <c r="J614" s="468">
        <v>17.946</v>
      </c>
    </row>
    <row r="615" spans="1:10" ht="12.75" outlineLevel="2">
      <c r="A615" s="645">
        <v>2141115270</v>
      </c>
      <c r="B615" s="635" t="s">
        <v>783</v>
      </c>
      <c r="C615" s="635" t="s">
        <v>1774</v>
      </c>
      <c r="D615" s="635"/>
      <c r="E615" s="635" t="s">
        <v>1494</v>
      </c>
      <c r="F615" s="465" t="s">
        <v>332</v>
      </c>
      <c r="G615" s="466">
        <v>0</v>
      </c>
      <c r="H615" s="466">
        <v>0</v>
      </c>
      <c r="I615" s="467">
        <v>7.131</v>
      </c>
      <c r="J615" s="468">
        <v>0</v>
      </c>
    </row>
    <row r="616" spans="1:10" ht="12.75" outlineLevel="2">
      <c r="A616" s="645">
        <v>2141115270</v>
      </c>
      <c r="B616" s="635" t="s">
        <v>783</v>
      </c>
      <c r="C616" s="635" t="s">
        <v>1774</v>
      </c>
      <c r="D616" s="635"/>
      <c r="E616" s="635" t="s">
        <v>1494</v>
      </c>
      <c r="F616" s="465" t="s">
        <v>96</v>
      </c>
      <c r="G616" s="466">
        <v>0</v>
      </c>
      <c r="H616" s="466">
        <v>22.951</v>
      </c>
      <c r="I616" s="467">
        <v>14.081</v>
      </c>
      <c r="J616" s="468">
        <v>34.151</v>
      </c>
    </row>
    <row r="617" spans="1:10" ht="12.75" outlineLevel="2">
      <c r="A617" s="645">
        <v>2141115270</v>
      </c>
      <c r="B617" s="635" t="s">
        <v>783</v>
      </c>
      <c r="C617" s="635" t="s">
        <v>1774</v>
      </c>
      <c r="D617" s="635"/>
      <c r="E617" s="635" t="s">
        <v>1494</v>
      </c>
      <c r="F617" s="465" t="s">
        <v>333</v>
      </c>
      <c r="G617" s="466">
        <v>0</v>
      </c>
      <c r="H617" s="466">
        <v>0</v>
      </c>
      <c r="I617" s="467">
        <v>20.002</v>
      </c>
      <c r="J617" s="468">
        <v>0</v>
      </c>
    </row>
    <row r="618" spans="1:10" ht="12.75" outlineLevel="2">
      <c r="A618" s="645">
        <v>2141116131</v>
      </c>
      <c r="B618" s="635" t="s">
        <v>2203</v>
      </c>
      <c r="C618" s="635" t="s">
        <v>1774</v>
      </c>
      <c r="D618" s="635"/>
      <c r="E618" s="635" t="s">
        <v>1494</v>
      </c>
      <c r="F618" s="465" t="s">
        <v>1845</v>
      </c>
      <c r="G618" s="466">
        <v>0</v>
      </c>
      <c r="H618" s="466">
        <v>0.192</v>
      </c>
      <c r="I618" s="467">
        <v>0.191</v>
      </c>
      <c r="J618" s="468">
        <v>0.001</v>
      </c>
    </row>
    <row r="619" spans="1:10" ht="12.75" outlineLevel="2">
      <c r="A619" s="645">
        <v>2141116220</v>
      </c>
      <c r="B619" s="635" t="s">
        <v>784</v>
      </c>
      <c r="C619" s="635" t="s">
        <v>1774</v>
      </c>
      <c r="D619" s="635"/>
      <c r="E619" s="635" t="s">
        <v>1494</v>
      </c>
      <c r="F619" s="465" t="s">
        <v>1845</v>
      </c>
      <c r="G619" s="466">
        <v>0</v>
      </c>
      <c r="H619" s="466">
        <v>0.005</v>
      </c>
      <c r="I619" s="467">
        <v>0.005</v>
      </c>
      <c r="J619" s="468">
        <v>0</v>
      </c>
    </row>
    <row r="620" spans="1:10" ht="12.75" outlineLevel="2">
      <c r="A620" s="645">
        <v>2141116257</v>
      </c>
      <c r="B620" s="635" t="s">
        <v>785</v>
      </c>
      <c r="C620" s="635" t="s">
        <v>1420</v>
      </c>
      <c r="D620" s="635"/>
      <c r="E620" s="635" t="s">
        <v>1494</v>
      </c>
      <c r="F620" s="465" t="s">
        <v>96</v>
      </c>
      <c r="G620" s="466">
        <v>0</v>
      </c>
      <c r="H620" s="466">
        <v>1.925</v>
      </c>
      <c r="I620" s="467">
        <v>1.924</v>
      </c>
      <c r="J620" s="468">
        <v>0.001</v>
      </c>
    </row>
    <row r="621" spans="1:10" ht="12.75" outlineLevel="2">
      <c r="A621" s="645">
        <v>2141117000</v>
      </c>
      <c r="B621" s="635" t="s">
        <v>1421</v>
      </c>
      <c r="C621" s="635" t="s">
        <v>1422</v>
      </c>
      <c r="D621" s="635"/>
      <c r="E621" s="635" t="s">
        <v>1494</v>
      </c>
      <c r="F621" s="465" t="s">
        <v>1845</v>
      </c>
      <c r="G621" s="466">
        <v>26.4</v>
      </c>
      <c r="H621" s="466">
        <v>24.451</v>
      </c>
      <c r="I621" s="467">
        <v>24.319</v>
      </c>
      <c r="J621" s="468">
        <v>0.132</v>
      </c>
    </row>
    <row r="622" spans="1:10" ht="12.75" outlineLevel="2">
      <c r="A622" s="645">
        <v>2141117008</v>
      </c>
      <c r="B622" s="635" t="s">
        <v>1421</v>
      </c>
      <c r="C622" s="635" t="s">
        <v>1423</v>
      </c>
      <c r="D622" s="635"/>
      <c r="E622" s="635" t="s">
        <v>1494</v>
      </c>
      <c r="F622" s="465" t="s">
        <v>1845</v>
      </c>
      <c r="G622" s="466">
        <v>23.568</v>
      </c>
      <c r="H622" s="466">
        <v>22.068</v>
      </c>
      <c r="I622" s="467">
        <v>22.065</v>
      </c>
      <c r="J622" s="468">
        <v>0.003</v>
      </c>
    </row>
    <row r="623" spans="1:10" ht="12.75" outlineLevel="2">
      <c r="A623" s="645">
        <v>2141117017</v>
      </c>
      <c r="B623" s="635" t="s">
        <v>1421</v>
      </c>
      <c r="C623" s="635" t="s">
        <v>1424</v>
      </c>
      <c r="D623" s="635"/>
      <c r="E623" s="635" t="s">
        <v>1494</v>
      </c>
      <c r="F623" s="465" t="s">
        <v>1845</v>
      </c>
      <c r="G623" s="466">
        <v>9.812</v>
      </c>
      <c r="H623" s="466">
        <v>8.232</v>
      </c>
      <c r="I623" s="467">
        <v>8.231</v>
      </c>
      <c r="J623" s="468">
        <v>0.001</v>
      </c>
    </row>
    <row r="624" spans="1:10" ht="12.75" outlineLevel="2">
      <c r="A624" s="645">
        <v>2141117031</v>
      </c>
      <c r="B624" s="635" t="s">
        <v>1421</v>
      </c>
      <c r="C624" s="635" t="s">
        <v>1425</v>
      </c>
      <c r="D624" s="635"/>
      <c r="E624" s="635" t="s">
        <v>1494</v>
      </c>
      <c r="F624" s="465" t="s">
        <v>1845</v>
      </c>
      <c r="G624" s="466">
        <v>14.749</v>
      </c>
      <c r="H624" s="466">
        <v>8.549</v>
      </c>
      <c r="I624" s="467">
        <v>8.147</v>
      </c>
      <c r="J624" s="468">
        <v>0.402</v>
      </c>
    </row>
    <row r="625" spans="1:10" ht="12.75" outlineLevel="2">
      <c r="A625" s="645">
        <v>2141117034</v>
      </c>
      <c r="B625" s="635" t="s">
        <v>1421</v>
      </c>
      <c r="C625" s="635" t="s">
        <v>1426</v>
      </c>
      <c r="D625" s="635"/>
      <c r="E625" s="635" t="s">
        <v>1494</v>
      </c>
      <c r="F625" s="465" t="s">
        <v>1845</v>
      </c>
      <c r="G625" s="466">
        <v>25</v>
      </c>
      <c r="H625" s="466">
        <v>18.579</v>
      </c>
      <c r="I625" s="467">
        <v>18.556</v>
      </c>
      <c r="J625" s="468">
        <v>0.023</v>
      </c>
    </row>
    <row r="626" spans="1:10" ht="12.75" outlineLevel="2">
      <c r="A626" s="645">
        <v>2141117043</v>
      </c>
      <c r="B626" s="635" t="s">
        <v>1421</v>
      </c>
      <c r="C626" s="635" t="s">
        <v>1427</v>
      </c>
      <c r="D626" s="635"/>
      <c r="E626" s="635" t="s">
        <v>1494</v>
      </c>
      <c r="F626" s="465" t="s">
        <v>1845</v>
      </c>
      <c r="G626" s="466">
        <v>21.458</v>
      </c>
      <c r="H626" s="466">
        <v>19.147</v>
      </c>
      <c r="I626" s="467">
        <v>19.147</v>
      </c>
      <c r="J626" s="468">
        <v>0</v>
      </c>
    </row>
    <row r="627" spans="1:10" ht="12.75" outlineLevel="2">
      <c r="A627" s="645">
        <v>2141117056</v>
      </c>
      <c r="B627" s="635" t="s">
        <v>1421</v>
      </c>
      <c r="C627" s="635" t="s">
        <v>1428</v>
      </c>
      <c r="D627" s="635"/>
      <c r="E627" s="635" t="s">
        <v>1494</v>
      </c>
      <c r="F627" s="465" t="s">
        <v>1845</v>
      </c>
      <c r="G627" s="466">
        <v>15.662</v>
      </c>
      <c r="H627" s="466">
        <v>13.532</v>
      </c>
      <c r="I627" s="467">
        <v>13.383</v>
      </c>
      <c r="J627" s="468">
        <v>0.149</v>
      </c>
    </row>
    <row r="628" spans="1:10" ht="12.75" outlineLevel="2">
      <c r="A628" s="645">
        <v>2141117078</v>
      </c>
      <c r="B628" s="635" t="s">
        <v>1421</v>
      </c>
      <c r="C628" s="635" t="s">
        <v>791</v>
      </c>
      <c r="D628" s="635"/>
      <c r="E628" s="635" t="s">
        <v>1494</v>
      </c>
      <c r="F628" s="465" t="s">
        <v>1845</v>
      </c>
      <c r="G628" s="466">
        <v>19.543</v>
      </c>
      <c r="H628" s="466">
        <v>16.943</v>
      </c>
      <c r="I628" s="467">
        <v>16.942</v>
      </c>
      <c r="J628" s="468">
        <v>0.001</v>
      </c>
    </row>
    <row r="629" spans="1:10" ht="12.75" outlineLevel="2">
      <c r="A629" s="645">
        <v>2141117112</v>
      </c>
      <c r="B629" s="635" t="s">
        <v>792</v>
      </c>
      <c r="C629" s="635" t="s">
        <v>1774</v>
      </c>
      <c r="D629" s="635"/>
      <c r="E629" s="635" t="s">
        <v>1494</v>
      </c>
      <c r="F629" s="465" t="s">
        <v>332</v>
      </c>
      <c r="G629" s="466">
        <v>0</v>
      </c>
      <c r="H629" s="466">
        <v>0</v>
      </c>
      <c r="I629" s="467">
        <v>0.172</v>
      </c>
      <c r="J629" s="468">
        <v>0</v>
      </c>
    </row>
    <row r="630" spans="1:10" ht="12.75" outlineLevel="2">
      <c r="A630" s="645">
        <v>2141117112</v>
      </c>
      <c r="B630" s="635" t="s">
        <v>792</v>
      </c>
      <c r="C630" s="635" t="s">
        <v>1774</v>
      </c>
      <c r="D630" s="635"/>
      <c r="E630" s="635" t="s">
        <v>1494</v>
      </c>
      <c r="F630" s="465" t="s">
        <v>333</v>
      </c>
      <c r="G630" s="466">
        <v>0</v>
      </c>
      <c r="H630" s="466">
        <v>0</v>
      </c>
      <c r="I630" s="467">
        <v>1.481</v>
      </c>
      <c r="J630" s="468">
        <v>0</v>
      </c>
    </row>
    <row r="631" spans="1:10" ht="12.75" outlineLevel="2">
      <c r="A631" s="645">
        <v>2141117115</v>
      </c>
      <c r="B631" s="635" t="s">
        <v>793</v>
      </c>
      <c r="C631" s="635" t="s">
        <v>1774</v>
      </c>
      <c r="D631" s="635"/>
      <c r="E631" s="635" t="s">
        <v>1494</v>
      </c>
      <c r="F631" s="465" t="s">
        <v>1845</v>
      </c>
      <c r="G631" s="466">
        <v>0</v>
      </c>
      <c r="H631" s="466">
        <v>0.199</v>
      </c>
      <c r="I631" s="467">
        <v>0.199</v>
      </c>
      <c r="J631" s="468">
        <v>0</v>
      </c>
    </row>
    <row r="632" spans="1:10" ht="12.75" outlineLevel="2">
      <c r="A632" s="645">
        <v>2141117120</v>
      </c>
      <c r="B632" s="635" t="s">
        <v>794</v>
      </c>
      <c r="C632" s="635" t="s">
        <v>1774</v>
      </c>
      <c r="D632" s="635"/>
      <c r="E632" s="635" t="s">
        <v>1494</v>
      </c>
      <c r="F632" s="465" t="s">
        <v>1845</v>
      </c>
      <c r="G632" s="466">
        <v>0</v>
      </c>
      <c r="H632" s="466">
        <v>0.047</v>
      </c>
      <c r="I632" s="467">
        <v>0.046</v>
      </c>
      <c r="J632" s="468">
        <v>0.001</v>
      </c>
    </row>
    <row r="633" spans="1:10" ht="12.75" outlineLevel="2">
      <c r="A633" s="645">
        <v>2141117121</v>
      </c>
      <c r="B633" s="635" t="s">
        <v>795</v>
      </c>
      <c r="C633" s="635" t="s">
        <v>1774</v>
      </c>
      <c r="D633" s="635"/>
      <c r="E633" s="635" t="s">
        <v>1494</v>
      </c>
      <c r="F633" s="465" t="s">
        <v>96</v>
      </c>
      <c r="G633" s="466">
        <v>0</v>
      </c>
      <c r="H633" s="466">
        <v>0.07</v>
      </c>
      <c r="I633" s="467">
        <v>0.07</v>
      </c>
      <c r="J633" s="468">
        <v>0</v>
      </c>
    </row>
    <row r="634" spans="1:10" ht="12.75" outlineLevel="2">
      <c r="A634" s="645">
        <v>2141117126</v>
      </c>
      <c r="B634" s="635" t="s">
        <v>796</v>
      </c>
      <c r="C634" s="635" t="s">
        <v>1774</v>
      </c>
      <c r="D634" s="635"/>
      <c r="E634" s="635" t="s">
        <v>1494</v>
      </c>
      <c r="F634" s="465" t="s">
        <v>333</v>
      </c>
      <c r="G634" s="466">
        <v>0</v>
      </c>
      <c r="H634" s="466">
        <v>0</v>
      </c>
      <c r="I634" s="467">
        <v>1.641</v>
      </c>
      <c r="J634" s="468">
        <v>0</v>
      </c>
    </row>
    <row r="635" spans="1:10" ht="12.75" outlineLevel="2">
      <c r="A635" s="645">
        <v>2141117127</v>
      </c>
      <c r="B635" s="635" t="s">
        <v>797</v>
      </c>
      <c r="C635" s="635" t="s">
        <v>1774</v>
      </c>
      <c r="D635" s="635"/>
      <c r="E635" s="635" t="s">
        <v>1494</v>
      </c>
      <c r="F635" s="465" t="s">
        <v>1845</v>
      </c>
      <c r="G635" s="466">
        <v>0</v>
      </c>
      <c r="H635" s="466">
        <v>0.067</v>
      </c>
      <c r="I635" s="467">
        <v>0.067</v>
      </c>
      <c r="J635" s="468">
        <v>0</v>
      </c>
    </row>
    <row r="636" spans="1:10" ht="12.75" outlineLevel="2">
      <c r="A636" s="645">
        <v>2141117131</v>
      </c>
      <c r="B636" s="635" t="s">
        <v>798</v>
      </c>
      <c r="C636" s="635" t="s">
        <v>1774</v>
      </c>
      <c r="D636" s="635"/>
      <c r="E636" s="635" t="s">
        <v>1494</v>
      </c>
      <c r="F636" s="465" t="s">
        <v>333</v>
      </c>
      <c r="G636" s="466">
        <v>0</v>
      </c>
      <c r="H636" s="466">
        <v>0</v>
      </c>
      <c r="I636" s="467">
        <v>4.886</v>
      </c>
      <c r="J636" s="468">
        <v>0</v>
      </c>
    </row>
    <row r="637" spans="1:10" ht="12.75" outlineLevel="2">
      <c r="A637" s="645">
        <v>2141117133</v>
      </c>
      <c r="B637" s="635" t="s">
        <v>799</v>
      </c>
      <c r="C637" s="635" t="s">
        <v>1774</v>
      </c>
      <c r="D637" s="635"/>
      <c r="E637" s="635" t="s">
        <v>1494</v>
      </c>
      <c r="F637" s="465" t="s">
        <v>332</v>
      </c>
      <c r="G637" s="466">
        <v>0</v>
      </c>
      <c r="H637" s="466">
        <v>0</v>
      </c>
      <c r="I637" s="467">
        <v>0.574</v>
      </c>
      <c r="J637" s="468">
        <v>0</v>
      </c>
    </row>
    <row r="638" spans="1:10" ht="12.75" outlineLevel="2">
      <c r="A638" s="645">
        <v>2141117133</v>
      </c>
      <c r="B638" s="635" t="s">
        <v>799</v>
      </c>
      <c r="C638" s="635" t="s">
        <v>1774</v>
      </c>
      <c r="D638" s="635"/>
      <c r="E638" s="635" t="s">
        <v>1494</v>
      </c>
      <c r="F638" s="465" t="s">
        <v>333</v>
      </c>
      <c r="G638" s="466">
        <v>0</v>
      </c>
      <c r="H638" s="466">
        <v>0</v>
      </c>
      <c r="I638" s="467">
        <v>10.13</v>
      </c>
      <c r="J638" s="468">
        <v>0</v>
      </c>
    </row>
    <row r="639" spans="1:10" ht="12.75" outlineLevel="2">
      <c r="A639" s="645">
        <v>2141117136</v>
      </c>
      <c r="B639" s="635" t="s">
        <v>800</v>
      </c>
      <c r="C639" s="635" t="s">
        <v>1774</v>
      </c>
      <c r="D639" s="635"/>
      <c r="E639" s="635" t="s">
        <v>1494</v>
      </c>
      <c r="F639" s="465" t="s">
        <v>332</v>
      </c>
      <c r="G639" s="466">
        <v>0</v>
      </c>
      <c r="H639" s="466">
        <v>0</v>
      </c>
      <c r="I639" s="467">
        <v>2.228</v>
      </c>
      <c r="J639" s="468">
        <v>0</v>
      </c>
    </row>
    <row r="640" spans="1:10" ht="12.75" outlineLevel="2">
      <c r="A640" s="645">
        <v>2141117136</v>
      </c>
      <c r="B640" s="635" t="s">
        <v>800</v>
      </c>
      <c r="C640" s="635" t="s">
        <v>1774</v>
      </c>
      <c r="D640" s="635"/>
      <c r="E640" s="635" t="s">
        <v>1494</v>
      </c>
      <c r="F640" s="465" t="s">
        <v>96</v>
      </c>
      <c r="G640" s="466">
        <v>0</v>
      </c>
      <c r="H640" s="466">
        <v>18.503</v>
      </c>
      <c r="I640" s="467">
        <v>18.502</v>
      </c>
      <c r="J640" s="468">
        <v>0.001</v>
      </c>
    </row>
    <row r="641" spans="1:10" ht="12.75" outlineLevel="2">
      <c r="A641" s="645">
        <v>2141117136</v>
      </c>
      <c r="B641" s="635" t="s">
        <v>800</v>
      </c>
      <c r="C641" s="635" t="s">
        <v>1774</v>
      </c>
      <c r="D641" s="635"/>
      <c r="E641" s="635" t="s">
        <v>1494</v>
      </c>
      <c r="F641" s="465" t="s">
        <v>333</v>
      </c>
      <c r="G641" s="466">
        <v>0</v>
      </c>
      <c r="H641" s="466">
        <v>0</v>
      </c>
      <c r="I641" s="467">
        <v>14.19</v>
      </c>
      <c r="J641" s="468">
        <v>0</v>
      </c>
    </row>
    <row r="642" spans="1:10" ht="12.75" outlineLevel="2">
      <c r="A642" s="645">
        <v>2141117167</v>
      </c>
      <c r="B642" s="635" t="s">
        <v>801</v>
      </c>
      <c r="C642" s="635" t="s">
        <v>1774</v>
      </c>
      <c r="D642" s="635"/>
      <c r="E642" s="635" t="s">
        <v>1494</v>
      </c>
      <c r="F642" s="465" t="s">
        <v>333</v>
      </c>
      <c r="G642" s="466">
        <v>0</v>
      </c>
      <c r="H642" s="466">
        <v>0</v>
      </c>
      <c r="I642" s="467">
        <v>7.497</v>
      </c>
      <c r="J642" s="468">
        <v>0</v>
      </c>
    </row>
    <row r="643" spans="1:10" ht="12.75" outlineLevel="2">
      <c r="A643" s="645">
        <v>2141117195</v>
      </c>
      <c r="B643" s="635" t="s">
        <v>802</v>
      </c>
      <c r="C643" s="635" t="s">
        <v>1774</v>
      </c>
      <c r="D643" s="635"/>
      <c r="E643" s="635" t="s">
        <v>1494</v>
      </c>
      <c r="F643" s="465" t="s">
        <v>1845</v>
      </c>
      <c r="G643" s="466">
        <v>0</v>
      </c>
      <c r="H643" s="466">
        <v>0.014</v>
      </c>
      <c r="I643" s="467">
        <v>0.014</v>
      </c>
      <c r="J643" s="468">
        <v>0</v>
      </c>
    </row>
    <row r="644" spans="1:10" ht="12.75" outlineLevel="2">
      <c r="A644" s="645">
        <v>2141117195</v>
      </c>
      <c r="B644" s="635" t="s">
        <v>802</v>
      </c>
      <c r="C644" s="635" t="s">
        <v>1774</v>
      </c>
      <c r="D644" s="635"/>
      <c r="E644" s="635" t="s">
        <v>1494</v>
      </c>
      <c r="F644" s="465" t="s">
        <v>96</v>
      </c>
      <c r="G644" s="466">
        <v>0</v>
      </c>
      <c r="H644" s="466">
        <v>0.17</v>
      </c>
      <c r="I644" s="467">
        <v>0.17</v>
      </c>
      <c r="J644" s="468">
        <v>0</v>
      </c>
    </row>
    <row r="645" spans="1:10" ht="12.75" outlineLevel="2">
      <c r="A645" s="645">
        <v>2141117231</v>
      </c>
      <c r="B645" s="635" t="s">
        <v>803</v>
      </c>
      <c r="C645" s="635" t="s">
        <v>1774</v>
      </c>
      <c r="D645" s="635"/>
      <c r="E645" s="635" t="s">
        <v>1494</v>
      </c>
      <c r="F645" s="465" t="s">
        <v>1845</v>
      </c>
      <c r="G645" s="466">
        <v>0</v>
      </c>
      <c r="H645" s="466">
        <v>2.105</v>
      </c>
      <c r="I645" s="467">
        <v>1.684</v>
      </c>
      <c r="J645" s="468">
        <v>0.421</v>
      </c>
    </row>
    <row r="646" spans="1:10" ht="12.75" outlineLevel="2">
      <c r="A646" s="645">
        <v>2141117231</v>
      </c>
      <c r="B646" s="635" t="s">
        <v>803</v>
      </c>
      <c r="C646" s="635" t="s">
        <v>1774</v>
      </c>
      <c r="D646" s="635"/>
      <c r="E646" s="635" t="s">
        <v>1494</v>
      </c>
      <c r="F646" s="465" t="s">
        <v>332</v>
      </c>
      <c r="G646" s="466">
        <v>0</v>
      </c>
      <c r="H646" s="466">
        <v>0</v>
      </c>
      <c r="I646" s="467">
        <v>0.139</v>
      </c>
      <c r="J646" s="468">
        <v>0</v>
      </c>
    </row>
    <row r="647" spans="1:10" ht="12.75" outlineLevel="2">
      <c r="A647" s="645">
        <v>2141118000</v>
      </c>
      <c r="B647" s="635" t="s">
        <v>2411</v>
      </c>
      <c r="C647" s="635" t="s">
        <v>1420</v>
      </c>
      <c r="D647" s="635"/>
      <c r="E647" s="635" t="s">
        <v>1494</v>
      </c>
      <c r="F647" s="465" t="s">
        <v>1845</v>
      </c>
      <c r="G647" s="466">
        <v>0.571</v>
      </c>
      <c r="H647" s="466">
        <v>0.437</v>
      </c>
      <c r="I647" s="467">
        <v>0.437</v>
      </c>
      <c r="J647" s="468">
        <v>0</v>
      </c>
    </row>
    <row r="648" spans="1:10" ht="12.75" outlineLevel="2">
      <c r="A648" s="645">
        <v>2141118000</v>
      </c>
      <c r="B648" s="635" t="s">
        <v>2411</v>
      </c>
      <c r="C648" s="635" t="s">
        <v>1420</v>
      </c>
      <c r="D648" s="635"/>
      <c r="E648" s="635" t="s">
        <v>1494</v>
      </c>
      <c r="F648" s="465" t="s">
        <v>473</v>
      </c>
      <c r="G648" s="466">
        <v>3.241</v>
      </c>
      <c r="H648" s="466">
        <v>0</v>
      </c>
      <c r="I648" s="467">
        <v>0</v>
      </c>
      <c r="J648" s="468">
        <v>0</v>
      </c>
    </row>
    <row r="649" spans="1:10" ht="12.75" outlineLevel="2">
      <c r="A649" s="645">
        <v>2141118000</v>
      </c>
      <c r="B649" s="635" t="s">
        <v>2411</v>
      </c>
      <c r="C649" s="635" t="s">
        <v>1420</v>
      </c>
      <c r="D649" s="635"/>
      <c r="E649" s="635" t="s">
        <v>1494</v>
      </c>
      <c r="F649" s="465" t="s">
        <v>2412</v>
      </c>
      <c r="G649" s="466">
        <v>0</v>
      </c>
      <c r="H649" s="466">
        <v>2.995</v>
      </c>
      <c r="I649" s="467">
        <v>2.864</v>
      </c>
      <c r="J649" s="468">
        <v>0.131</v>
      </c>
    </row>
    <row r="650" spans="1:10" ht="12.75" outlineLevel="2">
      <c r="A650" s="645">
        <v>2141118000</v>
      </c>
      <c r="B650" s="635" t="s">
        <v>2411</v>
      </c>
      <c r="C650" s="635" t="s">
        <v>1420</v>
      </c>
      <c r="D650" s="635"/>
      <c r="E650" s="635" t="s">
        <v>1494</v>
      </c>
      <c r="F650" s="465" t="s">
        <v>96</v>
      </c>
      <c r="G650" s="466">
        <v>0.847</v>
      </c>
      <c r="H650" s="466">
        <v>1.152</v>
      </c>
      <c r="I650" s="467">
        <v>0.816</v>
      </c>
      <c r="J650" s="468">
        <v>0.336</v>
      </c>
    </row>
    <row r="651" spans="1:10" ht="12.75" outlineLevel="2">
      <c r="A651" s="645">
        <v>2141118000</v>
      </c>
      <c r="B651" s="635" t="s">
        <v>2411</v>
      </c>
      <c r="C651" s="635" t="s">
        <v>1420</v>
      </c>
      <c r="D651" s="635"/>
      <c r="E651" s="635" t="s">
        <v>1494</v>
      </c>
      <c r="F651" s="465" t="s">
        <v>118</v>
      </c>
      <c r="G651" s="466">
        <v>4.793</v>
      </c>
      <c r="H651" s="466">
        <v>0</v>
      </c>
      <c r="I651" s="467">
        <v>0</v>
      </c>
      <c r="J651" s="468">
        <v>0</v>
      </c>
    </row>
    <row r="652" spans="1:10" ht="12.75" outlineLevel="2">
      <c r="A652" s="645">
        <v>2141118000</v>
      </c>
      <c r="B652" s="635" t="s">
        <v>2411</v>
      </c>
      <c r="C652" s="635" t="s">
        <v>1420</v>
      </c>
      <c r="D652" s="635"/>
      <c r="E652" s="635" t="s">
        <v>1494</v>
      </c>
      <c r="F652" s="465" t="s">
        <v>2413</v>
      </c>
      <c r="G652" s="466">
        <v>0</v>
      </c>
      <c r="H652" s="466">
        <v>6.008</v>
      </c>
      <c r="I652" s="467">
        <v>4.625</v>
      </c>
      <c r="J652" s="468">
        <v>1.383</v>
      </c>
    </row>
    <row r="653" spans="1:10" ht="12.75" outlineLevel="2">
      <c r="A653" s="645">
        <v>2141118001</v>
      </c>
      <c r="B653" s="635" t="s">
        <v>2414</v>
      </c>
      <c r="C653" s="635" t="s">
        <v>1420</v>
      </c>
      <c r="D653" s="635"/>
      <c r="E653" s="635" t="s">
        <v>1494</v>
      </c>
      <c r="F653" s="465" t="s">
        <v>1845</v>
      </c>
      <c r="G653" s="466">
        <v>0.122</v>
      </c>
      <c r="H653" s="466">
        <v>0</v>
      </c>
      <c r="I653" s="467">
        <v>0</v>
      </c>
      <c r="J653" s="468">
        <v>0</v>
      </c>
    </row>
    <row r="654" spans="1:10" ht="12.75" outlineLevel="2">
      <c r="A654" s="645">
        <v>2141118001</v>
      </c>
      <c r="B654" s="635" t="s">
        <v>2414</v>
      </c>
      <c r="C654" s="635" t="s">
        <v>1420</v>
      </c>
      <c r="D654" s="635"/>
      <c r="E654" s="635" t="s">
        <v>1494</v>
      </c>
      <c r="F654" s="465" t="s">
        <v>473</v>
      </c>
      <c r="G654" s="466">
        <v>0.688</v>
      </c>
      <c r="H654" s="466">
        <v>0</v>
      </c>
      <c r="I654" s="467">
        <v>0</v>
      </c>
      <c r="J654" s="468">
        <v>0</v>
      </c>
    </row>
    <row r="655" spans="1:10" ht="12.75" outlineLevel="2">
      <c r="A655" s="645">
        <v>2141118001</v>
      </c>
      <c r="B655" s="635" t="s">
        <v>2414</v>
      </c>
      <c r="C655" s="635" t="s">
        <v>1420</v>
      </c>
      <c r="D655" s="635"/>
      <c r="E655" s="635" t="s">
        <v>1494</v>
      </c>
      <c r="F655" s="465" t="s">
        <v>96</v>
      </c>
      <c r="G655" s="466">
        <v>0</v>
      </c>
      <c r="H655" s="466">
        <v>0.122</v>
      </c>
      <c r="I655" s="467">
        <v>0.122</v>
      </c>
      <c r="J655" s="468">
        <v>0</v>
      </c>
    </row>
    <row r="656" spans="1:10" ht="12.75" outlineLevel="2">
      <c r="A656" s="645">
        <v>2141118001</v>
      </c>
      <c r="B656" s="635" t="s">
        <v>2414</v>
      </c>
      <c r="C656" s="635" t="s">
        <v>1420</v>
      </c>
      <c r="D656" s="635"/>
      <c r="E656" s="635" t="s">
        <v>1494</v>
      </c>
      <c r="F656" s="465" t="s">
        <v>2413</v>
      </c>
      <c r="G656" s="466">
        <v>0</v>
      </c>
      <c r="H656" s="466">
        <v>0.688</v>
      </c>
      <c r="I656" s="467">
        <v>0.684</v>
      </c>
      <c r="J656" s="468">
        <v>0.004</v>
      </c>
    </row>
    <row r="657" spans="1:10" ht="12.75" outlineLevel="2">
      <c r="A657" s="645">
        <v>2141118002</v>
      </c>
      <c r="B657" s="635" t="s">
        <v>2415</v>
      </c>
      <c r="C657" s="635" t="s">
        <v>1774</v>
      </c>
      <c r="D657" s="635"/>
      <c r="E657" s="635" t="s">
        <v>1533</v>
      </c>
      <c r="F657" s="465" t="s">
        <v>96</v>
      </c>
      <c r="G657" s="466">
        <v>0.171</v>
      </c>
      <c r="H657" s="466">
        <v>0</v>
      </c>
      <c r="I657" s="467">
        <v>0</v>
      </c>
      <c r="J657" s="468">
        <v>0</v>
      </c>
    </row>
    <row r="658" spans="1:10" ht="12.75" outlineLevel="2">
      <c r="A658" s="645">
        <v>2141118002</v>
      </c>
      <c r="B658" s="635" t="s">
        <v>2415</v>
      </c>
      <c r="C658" s="635" t="s">
        <v>1774</v>
      </c>
      <c r="D658" s="635"/>
      <c r="E658" s="635" t="s">
        <v>1533</v>
      </c>
      <c r="F658" s="465" t="s">
        <v>118</v>
      </c>
      <c r="G658" s="466">
        <v>0.969</v>
      </c>
      <c r="H658" s="466">
        <v>0</v>
      </c>
      <c r="I658" s="467">
        <v>0</v>
      </c>
      <c r="J658" s="468">
        <v>0</v>
      </c>
    </row>
    <row r="659" spans="1:10" ht="12.75" outlineLevel="2">
      <c r="A659" s="645">
        <v>2141118003</v>
      </c>
      <c r="B659" s="635" t="s">
        <v>2416</v>
      </c>
      <c r="C659" s="635" t="s">
        <v>1774</v>
      </c>
      <c r="D659" s="635"/>
      <c r="E659" s="635" t="s">
        <v>1533</v>
      </c>
      <c r="F659" s="465" t="s">
        <v>96</v>
      </c>
      <c r="G659" s="466">
        <v>1.911</v>
      </c>
      <c r="H659" s="466">
        <v>0</v>
      </c>
      <c r="I659" s="467">
        <v>0</v>
      </c>
      <c r="J659" s="468">
        <v>0</v>
      </c>
    </row>
    <row r="660" spans="1:10" ht="12.75" outlineLevel="2">
      <c r="A660" s="645">
        <v>2141118003</v>
      </c>
      <c r="B660" s="635" t="s">
        <v>2416</v>
      </c>
      <c r="C660" s="635" t="s">
        <v>1774</v>
      </c>
      <c r="D660" s="635"/>
      <c r="E660" s="635" t="s">
        <v>1533</v>
      </c>
      <c r="F660" s="465" t="s">
        <v>118</v>
      </c>
      <c r="G660" s="466">
        <v>10.829</v>
      </c>
      <c r="H660" s="466">
        <v>0</v>
      </c>
      <c r="I660" s="467">
        <v>0</v>
      </c>
      <c r="J660" s="468">
        <v>0</v>
      </c>
    </row>
    <row r="661" spans="1:10" ht="12.75" outlineLevel="2">
      <c r="A661" s="645">
        <v>2141118004</v>
      </c>
      <c r="B661" s="635" t="s">
        <v>584</v>
      </c>
      <c r="C661" s="635" t="s">
        <v>1423</v>
      </c>
      <c r="D661" s="635"/>
      <c r="E661" s="635" t="s">
        <v>1494</v>
      </c>
      <c r="F661" s="465" t="s">
        <v>96</v>
      </c>
      <c r="G661" s="466">
        <v>1.4</v>
      </c>
      <c r="H661" s="466">
        <v>4.399</v>
      </c>
      <c r="I661" s="467">
        <v>4.398</v>
      </c>
      <c r="J661" s="468">
        <v>0.001</v>
      </c>
    </row>
    <row r="662" spans="1:10" ht="12.75" outlineLevel="2">
      <c r="A662" s="645">
        <v>2141118005</v>
      </c>
      <c r="B662" s="635" t="s">
        <v>2417</v>
      </c>
      <c r="C662" s="635" t="s">
        <v>1423</v>
      </c>
      <c r="D662" s="635"/>
      <c r="E662" s="635" t="s">
        <v>1533</v>
      </c>
      <c r="F662" s="465" t="s">
        <v>96</v>
      </c>
      <c r="G662" s="466">
        <v>3</v>
      </c>
      <c r="H662" s="466">
        <v>0</v>
      </c>
      <c r="I662" s="467">
        <v>0</v>
      </c>
      <c r="J662" s="468">
        <v>0</v>
      </c>
    </row>
    <row r="663" spans="1:10" ht="12.75" outlineLevel="2">
      <c r="A663" s="645">
        <v>2141118006</v>
      </c>
      <c r="B663" s="635" t="s">
        <v>2418</v>
      </c>
      <c r="C663" s="635" t="s">
        <v>1423</v>
      </c>
      <c r="D663" s="635"/>
      <c r="E663" s="635" t="s">
        <v>1494</v>
      </c>
      <c r="F663" s="465" t="s">
        <v>1845</v>
      </c>
      <c r="G663" s="466">
        <v>10.222</v>
      </c>
      <c r="H663" s="466">
        <v>10.222</v>
      </c>
      <c r="I663" s="467">
        <v>10.221</v>
      </c>
      <c r="J663" s="468">
        <v>0.001</v>
      </c>
    </row>
    <row r="664" spans="1:10" ht="12.75" outlineLevel="2">
      <c r="A664" s="645">
        <v>2141118007</v>
      </c>
      <c r="B664" s="635" t="s">
        <v>2419</v>
      </c>
      <c r="C664" s="635" t="s">
        <v>1423</v>
      </c>
      <c r="D664" s="635"/>
      <c r="E664" s="635" t="s">
        <v>1494</v>
      </c>
      <c r="F664" s="465" t="s">
        <v>1845</v>
      </c>
      <c r="G664" s="466">
        <v>21.431</v>
      </c>
      <c r="H664" s="466">
        <v>16.685</v>
      </c>
      <c r="I664" s="467">
        <v>16.685</v>
      </c>
      <c r="J664" s="468">
        <v>0</v>
      </c>
    </row>
    <row r="665" spans="1:10" ht="12.75" outlineLevel="2">
      <c r="A665" s="645">
        <v>2141118008</v>
      </c>
      <c r="B665" s="635" t="s">
        <v>580</v>
      </c>
      <c r="C665" s="635" t="s">
        <v>1423</v>
      </c>
      <c r="D665" s="635"/>
      <c r="E665" s="635" t="s">
        <v>1494</v>
      </c>
      <c r="F665" s="465" t="s">
        <v>1845</v>
      </c>
      <c r="G665" s="466">
        <v>8.3</v>
      </c>
      <c r="H665" s="466">
        <v>7.7</v>
      </c>
      <c r="I665" s="467">
        <v>7.7</v>
      </c>
      <c r="J665" s="468">
        <v>0</v>
      </c>
    </row>
    <row r="666" spans="1:10" ht="12.75" outlineLevel="2">
      <c r="A666" s="645">
        <v>2141118009</v>
      </c>
      <c r="B666" s="635" t="s">
        <v>2420</v>
      </c>
      <c r="C666" s="635" t="s">
        <v>1423</v>
      </c>
      <c r="D666" s="635"/>
      <c r="E666" s="635" t="s">
        <v>1494</v>
      </c>
      <c r="F666" s="465" t="s">
        <v>1845</v>
      </c>
      <c r="G666" s="466">
        <v>0.5</v>
      </c>
      <c r="H666" s="466">
        <v>0.5</v>
      </c>
      <c r="I666" s="467">
        <v>0.5</v>
      </c>
      <c r="J666" s="468">
        <v>0</v>
      </c>
    </row>
    <row r="667" spans="1:10" ht="12.75" outlineLevel="2">
      <c r="A667" s="645">
        <v>2141118010</v>
      </c>
      <c r="B667" s="635" t="s">
        <v>2418</v>
      </c>
      <c r="C667" s="635" t="s">
        <v>1424</v>
      </c>
      <c r="D667" s="635"/>
      <c r="E667" s="635" t="s">
        <v>1494</v>
      </c>
      <c r="F667" s="465" t="s">
        <v>1845</v>
      </c>
      <c r="G667" s="466">
        <v>3</v>
      </c>
      <c r="H667" s="466">
        <v>2.966</v>
      </c>
      <c r="I667" s="467">
        <v>2.965</v>
      </c>
      <c r="J667" s="468">
        <v>0.001</v>
      </c>
    </row>
    <row r="668" spans="1:10" ht="12.75" outlineLevel="2">
      <c r="A668" s="645">
        <v>2141118011</v>
      </c>
      <c r="B668" s="635" t="s">
        <v>2421</v>
      </c>
      <c r="C668" s="635" t="s">
        <v>1424</v>
      </c>
      <c r="D668" s="635"/>
      <c r="E668" s="635" t="s">
        <v>1494</v>
      </c>
      <c r="F668" s="465" t="s">
        <v>1845</v>
      </c>
      <c r="G668" s="466">
        <v>0.5</v>
      </c>
      <c r="H668" s="466">
        <v>0.5</v>
      </c>
      <c r="I668" s="467">
        <v>0.5</v>
      </c>
      <c r="J668" s="468">
        <v>0</v>
      </c>
    </row>
    <row r="669" spans="1:10" ht="12.75" outlineLevel="2">
      <c r="A669" s="645">
        <v>2141118012</v>
      </c>
      <c r="B669" s="635" t="s">
        <v>2419</v>
      </c>
      <c r="C669" s="635" t="s">
        <v>1424</v>
      </c>
      <c r="D669" s="635"/>
      <c r="E669" s="635" t="s">
        <v>1494</v>
      </c>
      <c r="F669" s="465" t="s">
        <v>1845</v>
      </c>
      <c r="G669" s="466">
        <v>14</v>
      </c>
      <c r="H669" s="466">
        <v>10.3</v>
      </c>
      <c r="I669" s="467">
        <v>10.3</v>
      </c>
      <c r="J669" s="468">
        <v>0</v>
      </c>
    </row>
    <row r="670" spans="1:10" ht="12.75" outlineLevel="2">
      <c r="A670" s="645">
        <v>2141118013</v>
      </c>
      <c r="B670" s="635" t="s">
        <v>567</v>
      </c>
      <c r="C670" s="635" t="s">
        <v>1424</v>
      </c>
      <c r="D670" s="635"/>
      <c r="E670" s="635" t="s">
        <v>1494</v>
      </c>
      <c r="F670" s="465" t="s">
        <v>1845</v>
      </c>
      <c r="G670" s="466">
        <v>5</v>
      </c>
      <c r="H670" s="466">
        <v>5</v>
      </c>
      <c r="I670" s="467">
        <v>5</v>
      </c>
      <c r="J670" s="468">
        <v>0</v>
      </c>
    </row>
    <row r="671" spans="1:10" ht="12.75" outlineLevel="2">
      <c r="A671" s="645">
        <v>2141118014</v>
      </c>
      <c r="B671" s="635" t="s">
        <v>2422</v>
      </c>
      <c r="C671" s="635" t="s">
        <v>1424</v>
      </c>
      <c r="D671" s="635"/>
      <c r="E671" s="635" t="s">
        <v>1494</v>
      </c>
      <c r="F671" s="465" t="s">
        <v>1845</v>
      </c>
      <c r="G671" s="466">
        <v>0.5</v>
      </c>
      <c r="H671" s="466">
        <v>0.5</v>
      </c>
      <c r="I671" s="467">
        <v>0.5</v>
      </c>
      <c r="J671" s="468">
        <v>0</v>
      </c>
    </row>
    <row r="672" spans="1:10" ht="12.75" outlineLevel="2">
      <c r="A672" s="645">
        <v>2141118015</v>
      </c>
      <c r="B672" s="635" t="s">
        <v>2419</v>
      </c>
      <c r="C672" s="635" t="s">
        <v>1425</v>
      </c>
      <c r="D672" s="635"/>
      <c r="E672" s="635" t="s">
        <v>1494</v>
      </c>
      <c r="F672" s="465" t="s">
        <v>1845</v>
      </c>
      <c r="G672" s="466">
        <v>6</v>
      </c>
      <c r="H672" s="466">
        <v>7</v>
      </c>
      <c r="I672" s="467">
        <v>6.754</v>
      </c>
      <c r="J672" s="468">
        <v>0.246</v>
      </c>
    </row>
    <row r="673" spans="1:10" ht="12.75" outlineLevel="2">
      <c r="A673" s="645">
        <v>2141118016</v>
      </c>
      <c r="B673" s="635" t="s">
        <v>580</v>
      </c>
      <c r="C673" s="635" t="s">
        <v>1425</v>
      </c>
      <c r="D673" s="635"/>
      <c r="E673" s="635" t="s">
        <v>1494</v>
      </c>
      <c r="F673" s="465" t="s">
        <v>1845</v>
      </c>
      <c r="G673" s="466">
        <v>5.768</v>
      </c>
      <c r="H673" s="466">
        <v>6.068</v>
      </c>
      <c r="I673" s="467">
        <v>6.053</v>
      </c>
      <c r="J673" s="468">
        <v>0.015</v>
      </c>
    </row>
    <row r="674" spans="1:10" ht="12.75" outlineLevel="2">
      <c r="A674" s="645">
        <v>2141118017</v>
      </c>
      <c r="B674" s="635" t="s">
        <v>2423</v>
      </c>
      <c r="C674" s="635" t="s">
        <v>1426</v>
      </c>
      <c r="D674" s="635"/>
      <c r="E674" s="635" t="s">
        <v>1494</v>
      </c>
      <c r="F674" s="465" t="s">
        <v>1845</v>
      </c>
      <c r="G674" s="466">
        <v>7.5</v>
      </c>
      <c r="H674" s="466">
        <v>7.5</v>
      </c>
      <c r="I674" s="467">
        <v>7.5</v>
      </c>
      <c r="J674" s="468">
        <v>0</v>
      </c>
    </row>
    <row r="675" spans="1:10" ht="12.75" outlineLevel="2">
      <c r="A675" s="645">
        <v>2141118018</v>
      </c>
      <c r="B675" s="635" t="s">
        <v>578</v>
      </c>
      <c r="C675" s="635" t="s">
        <v>1426</v>
      </c>
      <c r="D675" s="635"/>
      <c r="E675" s="635" t="s">
        <v>1494</v>
      </c>
      <c r="F675" s="465" t="s">
        <v>1845</v>
      </c>
      <c r="G675" s="466">
        <v>13.5</v>
      </c>
      <c r="H675" s="466">
        <v>13.5</v>
      </c>
      <c r="I675" s="467">
        <v>12.567</v>
      </c>
      <c r="J675" s="468">
        <v>0.933</v>
      </c>
    </row>
    <row r="676" spans="1:10" ht="12.75" outlineLevel="2">
      <c r="A676" s="645">
        <v>2141118019</v>
      </c>
      <c r="B676" s="635" t="s">
        <v>567</v>
      </c>
      <c r="C676" s="635" t="s">
        <v>1426</v>
      </c>
      <c r="D676" s="635"/>
      <c r="E676" s="635" t="s">
        <v>1494</v>
      </c>
      <c r="F676" s="465" t="s">
        <v>1845</v>
      </c>
      <c r="G676" s="466">
        <v>4</v>
      </c>
      <c r="H676" s="466">
        <v>4</v>
      </c>
      <c r="I676" s="467">
        <v>4</v>
      </c>
      <c r="J676" s="468">
        <v>0</v>
      </c>
    </row>
    <row r="677" spans="1:10" ht="12.75" outlineLevel="2">
      <c r="A677" s="645">
        <v>2141118020</v>
      </c>
      <c r="B677" s="635" t="s">
        <v>2419</v>
      </c>
      <c r="C677" s="635" t="s">
        <v>1427</v>
      </c>
      <c r="D677" s="635"/>
      <c r="E677" s="635" t="s">
        <v>1494</v>
      </c>
      <c r="F677" s="465" t="s">
        <v>1845</v>
      </c>
      <c r="G677" s="466">
        <v>8.475</v>
      </c>
      <c r="H677" s="466">
        <v>7.475</v>
      </c>
      <c r="I677" s="467">
        <v>7.475</v>
      </c>
      <c r="J677" s="468">
        <v>0</v>
      </c>
    </row>
    <row r="678" spans="1:10" ht="12.75" outlineLevel="2">
      <c r="A678" s="645">
        <v>2141118021</v>
      </c>
      <c r="B678" s="635" t="s">
        <v>2418</v>
      </c>
      <c r="C678" s="635" t="s">
        <v>1427</v>
      </c>
      <c r="D678" s="635"/>
      <c r="E678" s="635" t="s">
        <v>1494</v>
      </c>
      <c r="F678" s="465" t="s">
        <v>1845</v>
      </c>
      <c r="G678" s="466">
        <v>6.805</v>
      </c>
      <c r="H678" s="466">
        <v>6.805</v>
      </c>
      <c r="I678" s="467">
        <v>6.805</v>
      </c>
      <c r="J678" s="468">
        <v>0</v>
      </c>
    </row>
    <row r="679" spans="1:10" ht="12.75" outlineLevel="2">
      <c r="A679" s="645">
        <v>2141118022</v>
      </c>
      <c r="B679" s="635" t="s">
        <v>580</v>
      </c>
      <c r="C679" s="635" t="s">
        <v>1427</v>
      </c>
      <c r="D679" s="635"/>
      <c r="E679" s="635" t="s">
        <v>1494</v>
      </c>
      <c r="F679" s="465" t="s">
        <v>1845</v>
      </c>
      <c r="G679" s="466">
        <v>4.72</v>
      </c>
      <c r="H679" s="466">
        <v>7.72</v>
      </c>
      <c r="I679" s="467">
        <v>7.72</v>
      </c>
      <c r="J679" s="468">
        <v>0</v>
      </c>
    </row>
    <row r="680" spans="1:10" ht="12.75" outlineLevel="2">
      <c r="A680" s="645">
        <v>2141118023</v>
      </c>
      <c r="B680" s="635" t="s">
        <v>2420</v>
      </c>
      <c r="C680" s="635" t="s">
        <v>1427</v>
      </c>
      <c r="D680" s="635"/>
      <c r="E680" s="635" t="s">
        <v>1494</v>
      </c>
      <c r="F680" s="465" t="s">
        <v>1845</v>
      </c>
      <c r="G680" s="466">
        <v>1.104</v>
      </c>
      <c r="H680" s="466">
        <v>1.104</v>
      </c>
      <c r="I680" s="467">
        <v>1.103</v>
      </c>
      <c r="J680" s="468">
        <v>0.001</v>
      </c>
    </row>
    <row r="681" spans="1:10" ht="12.75" outlineLevel="2">
      <c r="A681" s="645">
        <v>2141118024</v>
      </c>
      <c r="B681" s="635" t="s">
        <v>2418</v>
      </c>
      <c r="C681" s="635" t="s">
        <v>1428</v>
      </c>
      <c r="D681" s="635"/>
      <c r="E681" s="635" t="s">
        <v>1494</v>
      </c>
      <c r="F681" s="465" t="s">
        <v>1845</v>
      </c>
      <c r="G681" s="466">
        <v>10.05</v>
      </c>
      <c r="H681" s="466">
        <v>10.027</v>
      </c>
      <c r="I681" s="467">
        <v>10.027</v>
      </c>
      <c r="J681" s="468">
        <v>0</v>
      </c>
    </row>
    <row r="682" spans="1:10" ht="12.75" outlineLevel="2">
      <c r="A682" s="645">
        <v>2141118025</v>
      </c>
      <c r="B682" s="635" t="s">
        <v>2424</v>
      </c>
      <c r="C682" s="635" t="s">
        <v>1428</v>
      </c>
      <c r="D682" s="635"/>
      <c r="E682" s="635" t="s">
        <v>1494</v>
      </c>
      <c r="F682" s="465" t="s">
        <v>1845</v>
      </c>
      <c r="G682" s="466">
        <v>0.3</v>
      </c>
      <c r="H682" s="466">
        <v>0.3</v>
      </c>
      <c r="I682" s="467">
        <v>0.3</v>
      </c>
      <c r="J682" s="468">
        <v>0</v>
      </c>
    </row>
    <row r="683" spans="1:10" ht="12.75" outlineLevel="2">
      <c r="A683" s="645">
        <v>2141118026</v>
      </c>
      <c r="B683" s="635" t="s">
        <v>2419</v>
      </c>
      <c r="C683" s="635" t="s">
        <v>1428</v>
      </c>
      <c r="D683" s="635"/>
      <c r="E683" s="635" t="s">
        <v>1494</v>
      </c>
      <c r="F683" s="465" t="s">
        <v>1845</v>
      </c>
      <c r="G683" s="466">
        <v>6.5</v>
      </c>
      <c r="H683" s="466">
        <v>6.593</v>
      </c>
      <c r="I683" s="467">
        <v>6.524</v>
      </c>
      <c r="J683" s="468">
        <v>0.069</v>
      </c>
    </row>
    <row r="684" spans="1:10" ht="12.75" outlineLevel="2">
      <c r="A684" s="645">
        <v>2141118027</v>
      </c>
      <c r="B684" s="635" t="s">
        <v>2425</v>
      </c>
      <c r="C684" s="635" t="s">
        <v>1428</v>
      </c>
      <c r="D684" s="635"/>
      <c r="E684" s="635" t="s">
        <v>1494</v>
      </c>
      <c r="F684" s="465" t="s">
        <v>1845</v>
      </c>
      <c r="G684" s="466">
        <v>0.03</v>
      </c>
      <c r="H684" s="466">
        <v>0.03</v>
      </c>
      <c r="I684" s="467">
        <v>0.03</v>
      </c>
      <c r="J684" s="468">
        <v>0</v>
      </c>
    </row>
    <row r="685" spans="1:10" ht="12.75" outlineLevel="2">
      <c r="A685" s="645">
        <v>2141118028</v>
      </c>
      <c r="B685" s="635" t="s">
        <v>580</v>
      </c>
      <c r="C685" s="635" t="s">
        <v>1428</v>
      </c>
      <c r="D685" s="635"/>
      <c r="E685" s="635" t="s">
        <v>1494</v>
      </c>
      <c r="F685" s="465" t="s">
        <v>1845</v>
      </c>
      <c r="G685" s="466">
        <v>4.343</v>
      </c>
      <c r="H685" s="466">
        <v>3.083</v>
      </c>
      <c r="I685" s="467">
        <v>3.083</v>
      </c>
      <c r="J685" s="468">
        <v>0</v>
      </c>
    </row>
    <row r="686" spans="1:10" ht="12.75" outlineLevel="2">
      <c r="A686" s="645">
        <v>2141118029</v>
      </c>
      <c r="B686" s="635" t="s">
        <v>2420</v>
      </c>
      <c r="C686" s="635" t="s">
        <v>1428</v>
      </c>
      <c r="D686" s="635"/>
      <c r="E686" s="635" t="s">
        <v>1494</v>
      </c>
      <c r="F686" s="465" t="s">
        <v>1845</v>
      </c>
      <c r="G686" s="466">
        <v>0.5</v>
      </c>
      <c r="H686" s="466">
        <v>0.5</v>
      </c>
      <c r="I686" s="467">
        <v>0.5</v>
      </c>
      <c r="J686" s="468">
        <v>0</v>
      </c>
    </row>
    <row r="687" spans="1:10" ht="12.75" outlineLevel="2">
      <c r="A687" s="645">
        <v>2141118030</v>
      </c>
      <c r="B687" s="635" t="s">
        <v>2418</v>
      </c>
      <c r="C687" s="635" t="s">
        <v>1422</v>
      </c>
      <c r="D687" s="635"/>
      <c r="E687" s="635" t="s">
        <v>1494</v>
      </c>
      <c r="F687" s="465" t="s">
        <v>1845</v>
      </c>
      <c r="G687" s="466">
        <v>13.5</v>
      </c>
      <c r="H687" s="466">
        <v>14.191</v>
      </c>
      <c r="I687" s="467">
        <v>14.191</v>
      </c>
      <c r="J687" s="468">
        <v>0</v>
      </c>
    </row>
    <row r="688" spans="1:10" ht="12.75" outlineLevel="2">
      <c r="A688" s="645">
        <v>2141118031</v>
      </c>
      <c r="B688" s="635" t="s">
        <v>580</v>
      </c>
      <c r="C688" s="635" t="s">
        <v>1422</v>
      </c>
      <c r="D688" s="635"/>
      <c r="E688" s="635" t="s">
        <v>1494</v>
      </c>
      <c r="F688" s="465" t="s">
        <v>1845</v>
      </c>
      <c r="G688" s="466">
        <v>8.25</v>
      </c>
      <c r="H688" s="466">
        <v>8.235</v>
      </c>
      <c r="I688" s="467">
        <v>8.235</v>
      </c>
      <c r="J688" s="468">
        <v>0</v>
      </c>
    </row>
    <row r="689" spans="1:10" ht="12.75" outlineLevel="2">
      <c r="A689" s="645">
        <v>2141118032</v>
      </c>
      <c r="B689" s="635" t="s">
        <v>2420</v>
      </c>
      <c r="C689" s="635" t="s">
        <v>1422</v>
      </c>
      <c r="D689" s="635"/>
      <c r="E689" s="635" t="s">
        <v>1494</v>
      </c>
      <c r="F689" s="465" t="s">
        <v>1845</v>
      </c>
      <c r="G689" s="466">
        <v>0.58</v>
      </c>
      <c r="H689" s="466">
        <v>0.58</v>
      </c>
      <c r="I689" s="467">
        <v>0.458</v>
      </c>
      <c r="J689" s="468">
        <v>0.122</v>
      </c>
    </row>
    <row r="690" spans="1:10" ht="12.75" outlineLevel="2">
      <c r="A690" s="645">
        <v>2141118033</v>
      </c>
      <c r="B690" s="635" t="s">
        <v>2418</v>
      </c>
      <c r="C690" s="635" t="s">
        <v>791</v>
      </c>
      <c r="D690" s="635"/>
      <c r="E690" s="635" t="s">
        <v>1494</v>
      </c>
      <c r="F690" s="465" t="s">
        <v>1845</v>
      </c>
      <c r="G690" s="466">
        <v>8</v>
      </c>
      <c r="H690" s="466">
        <v>11</v>
      </c>
      <c r="I690" s="467">
        <v>11</v>
      </c>
      <c r="J690" s="468">
        <v>0</v>
      </c>
    </row>
    <row r="691" spans="1:10" ht="12.75" outlineLevel="2">
      <c r="A691" s="645">
        <v>2141118034</v>
      </c>
      <c r="B691" s="635" t="s">
        <v>2419</v>
      </c>
      <c r="C691" s="635" t="s">
        <v>791</v>
      </c>
      <c r="D691" s="635"/>
      <c r="E691" s="635" t="s">
        <v>1494</v>
      </c>
      <c r="F691" s="465" t="s">
        <v>1845</v>
      </c>
      <c r="G691" s="466">
        <v>6.7</v>
      </c>
      <c r="H691" s="466">
        <v>7.256</v>
      </c>
      <c r="I691" s="467">
        <v>7.256</v>
      </c>
      <c r="J691" s="468">
        <v>0</v>
      </c>
    </row>
    <row r="692" spans="1:10" ht="12.75" outlineLevel="2">
      <c r="A692" s="645">
        <v>2141118035</v>
      </c>
      <c r="B692" s="635" t="s">
        <v>580</v>
      </c>
      <c r="C692" s="635" t="s">
        <v>791</v>
      </c>
      <c r="D692" s="635"/>
      <c r="E692" s="635" t="s">
        <v>1494</v>
      </c>
      <c r="F692" s="465" t="s">
        <v>1845</v>
      </c>
      <c r="G692" s="466">
        <v>2.5</v>
      </c>
      <c r="H692" s="466">
        <v>2.5</v>
      </c>
      <c r="I692" s="467">
        <v>2.499</v>
      </c>
      <c r="J692" s="468">
        <v>0.001</v>
      </c>
    </row>
    <row r="693" spans="1:10" ht="12.75" outlineLevel="2">
      <c r="A693" s="645">
        <v>2141118036</v>
      </c>
      <c r="B693" s="635" t="s">
        <v>2426</v>
      </c>
      <c r="C693" s="635" t="s">
        <v>1420</v>
      </c>
      <c r="D693" s="635"/>
      <c r="E693" s="635" t="s">
        <v>1494</v>
      </c>
      <c r="F693" s="465" t="s">
        <v>1845</v>
      </c>
      <c r="G693" s="466">
        <v>2.645</v>
      </c>
      <c r="H693" s="466">
        <v>5.624</v>
      </c>
      <c r="I693" s="467">
        <v>5.62</v>
      </c>
      <c r="J693" s="468">
        <v>0.004</v>
      </c>
    </row>
    <row r="694" spans="1:10" ht="12.75" outlineLevel="2">
      <c r="A694" s="645">
        <v>2141118036</v>
      </c>
      <c r="B694" s="635" t="s">
        <v>2426</v>
      </c>
      <c r="C694" s="635" t="s">
        <v>1420</v>
      </c>
      <c r="D694" s="635"/>
      <c r="E694" s="635" t="s">
        <v>1494</v>
      </c>
      <c r="F694" s="465" t="s">
        <v>96</v>
      </c>
      <c r="G694" s="466">
        <v>0</v>
      </c>
      <c r="H694" s="466">
        <v>0.269</v>
      </c>
      <c r="I694" s="467">
        <v>0.268</v>
      </c>
      <c r="J694" s="468">
        <v>0.001</v>
      </c>
    </row>
    <row r="695" spans="1:10" ht="12.75" outlineLevel="2">
      <c r="A695" s="645">
        <v>2141118037</v>
      </c>
      <c r="B695" s="635" t="s">
        <v>2427</v>
      </c>
      <c r="C695" s="635" t="s">
        <v>1420</v>
      </c>
      <c r="D695" s="635"/>
      <c r="E695" s="635" t="s">
        <v>1494</v>
      </c>
      <c r="F695" s="465" t="s">
        <v>1845</v>
      </c>
      <c r="G695" s="466">
        <v>2</v>
      </c>
      <c r="H695" s="466">
        <v>2.269</v>
      </c>
      <c r="I695" s="467">
        <v>2.265</v>
      </c>
      <c r="J695" s="468">
        <v>0.004</v>
      </c>
    </row>
    <row r="696" spans="1:10" ht="12.75" outlineLevel="2">
      <c r="A696" s="645">
        <v>2141118037</v>
      </c>
      <c r="B696" s="635" t="s">
        <v>2427</v>
      </c>
      <c r="C696" s="635" t="s">
        <v>1420</v>
      </c>
      <c r="D696" s="635"/>
      <c r="E696" s="635" t="s">
        <v>1494</v>
      </c>
      <c r="F696" s="465" t="s">
        <v>96</v>
      </c>
      <c r="G696" s="466">
        <v>0</v>
      </c>
      <c r="H696" s="466">
        <v>0.5</v>
      </c>
      <c r="I696" s="467">
        <v>0.5</v>
      </c>
      <c r="J696" s="468">
        <v>0</v>
      </c>
    </row>
    <row r="697" spans="1:10" ht="12.75" outlineLevel="2">
      <c r="A697" s="645">
        <v>2141118038</v>
      </c>
      <c r="B697" s="635" t="s">
        <v>2428</v>
      </c>
      <c r="C697" s="635" t="s">
        <v>1420</v>
      </c>
      <c r="D697" s="635"/>
      <c r="E697" s="635" t="s">
        <v>1494</v>
      </c>
      <c r="F697" s="465" t="s">
        <v>1845</v>
      </c>
      <c r="G697" s="466">
        <v>0.3</v>
      </c>
      <c r="H697" s="466">
        <v>0.15</v>
      </c>
      <c r="I697" s="467">
        <v>0.054</v>
      </c>
      <c r="J697" s="468">
        <v>0.096</v>
      </c>
    </row>
    <row r="698" spans="1:10" ht="12.75" outlineLevel="2">
      <c r="A698" s="645">
        <v>2141118039</v>
      </c>
      <c r="B698" s="635" t="s">
        <v>2429</v>
      </c>
      <c r="C698" s="635" t="s">
        <v>1420</v>
      </c>
      <c r="D698" s="635"/>
      <c r="E698" s="635" t="s">
        <v>1494</v>
      </c>
      <c r="F698" s="465" t="s">
        <v>1845</v>
      </c>
      <c r="G698" s="466">
        <v>0.8</v>
      </c>
      <c r="H698" s="466">
        <v>1.7</v>
      </c>
      <c r="I698" s="467">
        <v>1.669</v>
      </c>
      <c r="J698" s="468">
        <v>0.031</v>
      </c>
    </row>
    <row r="699" spans="1:10" ht="12.75" outlineLevel="2">
      <c r="A699" s="645">
        <v>2141118040</v>
      </c>
      <c r="B699" s="635" t="s">
        <v>2430</v>
      </c>
      <c r="C699" s="635" t="s">
        <v>1420</v>
      </c>
      <c r="D699" s="635"/>
      <c r="E699" s="635" t="s">
        <v>1494</v>
      </c>
      <c r="F699" s="465" t="s">
        <v>1845</v>
      </c>
      <c r="G699" s="466">
        <v>2.5</v>
      </c>
      <c r="H699" s="466">
        <v>4.05</v>
      </c>
      <c r="I699" s="467">
        <v>3.915</v>
      </c>
      <c r="J699" s="468">
        <v>0.135</v>
      </c>
    </row>
    <row r="700" spans="1:10" ht="12.75" outlineLevel="2">
      <c r="A700" s="645">
        <v>2141118041</v>
      </c>
      <c r="B700" s="635" t="s">
        <v>2419</v>
      </c>
      <c r="C700" s="635" t="s">
        <v>1420</v>
      </c>
      <c r="D700" s="635"/>
      <c r="E700" s="635" t="s">
        <v>1494</v>
      </c>
      <c r="F700" s="465" t="s">
        <v>1845</v>
      </c>
      <c r="G700" s="466">
        <v>3</v>
      </c>
      <c r="H700" s="466">
        <v>3.107</v>
      </c>
      <c r="I700" s="467">
        <v>3.103</v>
      </c>
      <c r="J700" s="468">
        <v>0.004</v>
      </c>
    </row>
    <row r="701" spans="1:10" ht="12.75" outlineLevel="2">
      <c r="A701" s="645">
        <v>2141118042</v>
      </c>
      <c r="B701" s="635" t="s">
        <v>2431</v>
      </c>
      <c r="C701" s="635" t="s">
        <v>1420</v>
      </c>
      <c r="D701" s="635"/>
      <c r="E701" s="635" t="s">
        <v>1494</v>
      </c>
      <c r="F701" s="465" t="s">
        <v>1845</v>
      </c>
      <c r="G701" s="466">
        <v>5.5</v>
      </c>
      <c r="H701" s="466">
        <v>0</v>
      </c>
      <c r="I701" s="467">
        <v>0</v>
      </c>
      <c r="J701" s="468">
        <v>0</v>
      </c>
    </row>
    <row r="702" spans="1:10" ht="12.75" outlineLevel="2">
      <c r="A702" s="645">
        <v>2141118042</v>
      </c>
      <c r="B702" s="635" t="s">
        <v>2431</v>
      </c>
      <c r="C702" s="635" t="s">
        <v>1420</v>
      </c>
      <c r="D702" s="635"/>
      <c r="E702" s="635" t="s">
        <v>1494</v>
      </c>
      <c r="F702" s="465" t="s">
        <v>96</v>
      </c>
      <c r="G702" s="466">
        <v>0</v>
      </c>
      <c r="H702" s="466">
        <v>5.5</v>
      </c>
      <c r="I702" s="467">
        <v>5.475</v>
      </c>
      <c r="J702" s="468">
        <v>0.025</v>
      </c>
    </row>
    <row r="703" spans="1:10" ht="12.75" outlineLevel="2">
      <c r="A703" s="645">
        <v>2141118043</v>
      </c>
      <c r="B703" s="635" t="s">
        <v>2432</v>
      </c>
      <c r="C703" s="635" t="s">
        <v>1420</v>
      </c>
      <c r="D703" s="635"/>
      <c r="E703" s="635" t="s">
        <v>1494</v>
      </c>
      <c r="F703" s="465" t="s">
        <v>1845</v>
      </c>
      <c r="G703" s="466">
        <v>12</v>
      </c>
      <c r="H703" s="466">
        <v>0</v>
      </c>
      <c r="I703" s="467">
        <v>0</v>
      </c>
      <c r="J703" s="468">
        <v>0</v>
      </c>
    </row>
    <row r="704" spans="1:10" ht="12.75" outlineLevel="2">
      <c r="A704" s="645">
        <v>2141118043</v>
      </c>
      <c r="B704" s="635" t="s">
        <v>2432</v>
      </c>
      <c r="C704" s="635" t="s">
        <v>1420</v>
      </c>
      <c r="D704" s="635"/>
      <c r="E704" s="635" t="s">
        <v>1494</v>
      </c>
      <c r="F704" s="465" t="s">
        <v>96</v>
      </c>
      <c r="G704" s="466">
        <v>0</v>
      </c>
      <c r="H704" s="466">
        <v>13.9</v>
      </c>
      <c r="I704" s="467">
        <v>13.876</v>
      </c>
      <c r="J704" s="468">
        <v>0.024</v>
      </c>
    </row>
    <row r="705" spans="1:10" ht="12.75" outlineLevel="2">
      <c r="A705" s="645">
        <v>2141118044</v>
      </c>
      <c r="B705" s="635" t="s">
        <v>2433</v>
      </c>
      <c r="C705" s="635" t="s">
        <v>1420</v>
      </c>
      <c r="D705" s="635"/>
      <c r="E705" s="635" t="s">
        <v>1494</v>
      </c>
      <c r="F705" s="465" t="s">
        <v>1845</v>
      </c>
      <c r="G705" s="466">
        <v>14.7</v>
      </c>
      <c r="H705" s="466">
        <v>21.679</v>
      </c>
      <c r="I705" s="467">
        <v>10.019</v>
      </c>
      <c r="J705" s="468">
        <v>11.66</v>
      </c>
    </row>
    <row r="706" spans="1:10" ht="12.75" outlineLevel="2">
      <c r="A706" s="645">
        <v>2141118045</v>
      </c>
      <c r="B706" s="635" t="s">
        <v>2418</v>
      </c>
      <c r="C706" s="635" t="s">
        <v>1420</v>
      </c>
      <c r="D706" s="635"/>
      <c r="E706" s="635" t="s">
        <v>1494</v>
      </c>
      <c r="F706" s="465" t="s">
        <v>1845</v>
      </c>
      <c r="G706" s="466">
        <v>17</v>
      </c>
      <c r="H706" s="466">
        <v>17.493</v>
      </c>
      <c r="I706" s="467">
        <v>17.488</v>
      </c>
      <c r="J706" s="468">
        <v>0.005</v>
      </c>
    </row>
    <row r="707" spans="1:10" ht="12.75" outlineLevel="2">
      <c r="A707" s="645">
        <v>2141118046</v>
      </c>
      <c r="B707" s="635" t="s">
        <v>2434</v>
      </c>
      <c r="C707" s="635" t="s">
        <v>1420</v>
      </c>
      <c r="D707" s="635"/>
      <c r="E707" s="635" t="s">
        <v>1494</v>
      </c>
      <c r="F707" s="465" t="s">
        <v>1845</v>
      </c>
      <c r="G707" s="466">
        <v>20.33</v>
      </c>
      <c r="H707" s="466">
        <v>17.88</v>
      </c>
      <c r="I707" s="467">
        <v>17.689</v>
      </c>
      <c r="J707" s="468">
        <v>0.191</v>
      </c>
    </row>
    <row r="708" spans="1:10" ht="12.75" outlineLevel="2">
      <c r="A708" s="645">
        <v>2141118047</v>
      </c>
      <c r="B708" s="635" t="s">
        <v>2435</v>
      </c>
      <c r="C708" s="635" t="s">
        <v>1420</v>
      </c>
      <c r="D708" s="635"/>
      <c r="E708" s="635" t="s">
        <v>1494</v>
      </c>
      <c r="F708" s="465" t="s">
        <v>1845</v>
      </c>
      <c r="G708" s="466">
        <v>41.73</v>
      </c>
      <c r="H708" s="466">
        <v>45.995</v>
      </c>
      <c r="I708" s="467">
        <v>45.895</v>
      </c>
      <c r="J708" s="468">
        <v>0.1</v>
      </c>
    </row>
    <row r="709" spans="1:10" ht="12.75" outlineLevel="2">
      <c r="A709" s="645">
        <v>2141118048</v>
      </c>
      <c r="B709" s="635" t="s">
        <v>2436</v>
      </c>
      <c r="C709" s="635" t="s">
        <v>1420</v>
      </c>
      <c r="D709" s="635"/>
      <c r="E709" s="635" t="s">
        <v>1494</v>
      </c>
      <c r="F709" s="465" t="s">
        <v>1845</v>
      </c>
      <c r="G709" s="466">
        <v>0.4</v>
      </c>
      <c r="H709" s="466">
        <v>0.4</v>
      </c>
      <c r="I709" s="467">
        <v>0.399</v>
      </c>
      <c r="J709" s="468">
        <v>0.001</v>
      </c>
    </row>
    <row r="710" spans="1:10" ht="12.75" outlineLevel="2">
      <c r="A710" s="645">
        <v>2141118049</v>
      </c>
      <c r="B710" s="635" t="s">
        <v>2437</v>
      </c>
      <c r="C710" s="635" t="s">
        <v>2438</v>
      </c>
      <c r="D710" s="635"/>
      <c r="E710" s="635" t="s">
        <v>1533</v>
      </c>
      <c r="F710" s="465" t="s">
        <v>96</v>
      </c>
      <c r="G710" s="466">
        <v>80</v>
      </c>
      <c r="H710" s="466">
        <v>0</v>
      </c>
      <c r="I710" s="467">
        <v>0</v>
      </c>
      <c r="J710" s="468">
        <v>0</v>
      </c>
    </row>
    <row r="711" spans="1:10" ht="12.75" outlineLevel="2">
      <c r="A711" s="645">
        <v>2141118050</v>
      </c>
      <c r="B711" s="635" t="s">
        <v>2439</v>
      </c>
      <c r="C711" s="635" t="s">
        <v>1774</v>
      </c>
      <c r="D711" s="635"/>
      <c r="E711" s="635" t="s">
        <v>1533</v>
      </c>
      <c r="F711" s="465" t="s">
        <v>96</v>
      </c>
      <c r="G711" s="466">
        <v>0.81</v>
      </c>
      <c r="H711" s="466">
        <v>0</v>
      </c>
      <c r="I711" s="467">
        <v>0</v>
      </c>
      <c r="J711" s="468">
        <v>0</v>
      </c>
    </row>
    <row r="712" spans="1:10" ht="12.75" outlineLevel="2">
      <c r="A712" s="645">
        <v>2141118051</v>
      </c>
      <c r="B712" s="635" t="s">
        <v>2440</v>
      </c>
      <c r="C712" s="635" t="s">
        <v>1774</v>
      </c>
      <c r="D712" s="635"/>
      <c r="E712" s="635" t="s">
        <v>1533</v>
      </c>
      <c r="F712" s="465" t="s">
        <v>1845</v>
      </c>
      <c r="G712" s="466">
        <v>3.355</v>
      </c>
      <c r="H712" s="466">
        <v>0</v>
      </c>
      <c r="I712" s="467">
        <v>0</v>
      </c>
      <c r="J712" s="468">
        <v>0</v>
      </c>
    </row>
    <row r="713" spans="1:10" ht="12.75" outlineLevel="2">
      <c r="A713" s="645">
        <v>2141118052</v>
      </c>
      <c r="B713" s="635" t="s">
        <v>2441</v>
      </c>
      <c r="C713" s="635" t="s">
        <v>1774</v>
      </c>
      <c r="D713" s="635"/>
      <c r="E713" s="635" t="s">
        <v>1494</v>
      </c>
      <c r="F713" s="465" t="s">
        <v>96</v>
      </c>
      <c r="G713" s="466">
        <v>30</v>
      </c>
      <c r="H713" s="466">
        <v>0</v>
      </c>
      <c r="I713" s="467">
        <v>0</v>
      </c>
      <c r="J713" s="468">
        <v>0</v>
      </c>
    </row>
    <row r="714" spans="1:10" ht="12.75" outlineLevel="2">
      <c r="A714" s="645">
        <v>2141118053</v>
      </c>
      <c r="B714" s="635" t="s">
        <v>2442</v>
      </c>
      <c r="C714" s="635" t="s">
        <v>1774</v>
      </c>
      <c r="D714" s="635"/>
      <c r="E714" s="635" t="s">
        <v>1494</v>
      </c>
      <c r="F714" s="465" t="s">
        <v>96</v>
      </c>
      <c r="G714" s="466">
        <v>45</v>
      </c>
      <c r="H714" s="466">
        <v>0</v>
      </c>
      <c r="I714" s="467">
        <v>0</v>
      </c>
      <c r="J714" s="468">
        <v>0</v>
      </c>
    </row>
    <row r="715" spans="1:10" ht="12.75" outlineLevel="2">
      <c r="A715" s="645">
        <v>2141118054</v>
      </c>
      <c r="B715" s="635" t="s">
        <v>2443</v>
      </c>
      <c r="C715" s="635" t="s">
        <v>1774</v>
      </c>
      <c r="D715" s="635"/>
      <c r="E715" s="635" t="s">
        <v>1533</v>
      </c>
      <c r="F715" s="465" t="s">
        <v>96</v>
      </c>
      <c r="G715" s="466">
        <v>12</v>
      </c>
      <c r="H715" s="466">
        <v>0</v>
      </c>
      <c r="I715" s="467">
        <v>0</v>
      </c>
      <c r="J715" s="468">
        <v>0</v>
      </c>
    </row>
    <row r="716" spans="1:10" ht="12.75" outlineLevel="2">
      <c r="A716" s="645">
        <v>2141118055</v>
      </c>
      <c r="B716" s="635" t="s">
        <v>2444</v>
      </c>
      <c r="C716" s="635" t="s">
        <v>1424</v>
      </c>
      <c r="D716" s="635"/>
      <c r="E716" s="635" t="s">
        <v>1533</v>
      </c>
      <c r="F716" s="465" t="s">
        <v>1845</v>
      </c>
      <c r="G716" s="466">
        <v>0.825</v>
      </c>
      <c r="H716" s="466">
        <v>0</v>
      </c>
      <c r="I716" s="467">
        <v>0</v>
      </c>
      <c r="J716" s="468">
        <v>0</v>
      </c>
    </row>
    <row r="717" spans="1:10" ht="12.75" outlineLevel="2">
      <c r="A717" s="645">
        <v>2141118055</v>
      </c>
      <c r="B717" s="635" t="s">
        <v>2444</v>
      </c>
      <c r="C717" s="635" t="s">
        <v>1424</v>
      </c>
      <c r="D717" s="635"/>
      <c r="E717" s="635" t="s">
        <v>1533</v>
      </c>
      <c r="F717" s="465" t="s">
        <v>473</v>
      </c>
      <c r="G717" s="466">
        <v>4.675</v>
      </c>
      <c r="H717" s="466">
        <v>0</v>
      </c>
      <c r="I717" s="467">
        <v>0</v>
      </c>
      <c r="J717" s="468">
        <v>0</v>
      </c>
    </row>
    <row r="718" spans="1:10" ht="12.75" outlineLevel="2">
      <c r="A718" s="645">
        <v>2141118056</v>
      </c>
      <c r="B718" s="635" t="s">
        <v>2444</v>
      </c>
      <c r="C718" s="635" t="s">
        <v>1425</v>
      </c>
      <c r="D718" s="635"/>
      <c r="E718" s="635" t="s">
        <v>1533</v>
      </c>
      <c r="F718" s="465" t="s">
        <v>1845</v>
      </c>
      <c r="G718" s="466">
        <v>0.825</v>
      </c>
      <c r="H718" s="466">
        <v>0</v>
      </c>
      <c r="I718" s="467">
        <v>0</v>
      </c>
      <c r="J718" s="468">
        <v>0</v>
      </c>
    </row>
    <row r="719" spans="1:10" ht="12.75" outlineLevel="2">
      <c r="A719" s="645">
        <v>2141118056</v>
      </c>
      <c r="B719" s="635" t="s">
        <v>2444</v>
      </c>
      <c r="C719" s="635" t="s">
        <v>1425</v>
      </c>
      <c r="D719" s="635"/>
      <c r="E719" s="635" t="s">
        <v>1533</v>
      </c>
      <c r="F719" s="465" t="s">
        <v>473</v>
      </c>
      <c r="G719" s="466">
        <v>4.675</v>
      </c>
      <c r="H719" s="466">
        <v>0</v>
      </c>
      <c r="I719" s="467">
        <v>0</v>
      </c>
      <c r="J719" s="468">
        <v>0</v>
      </c>
    </row>
    <row r="720" spans="1:10" ht="12.75" outlineLevel="2">
      <c r="A720" s="645">
        <v>2141118057</v>
      </c>
      <c r="B720" s="635" t="s">
        <v>2444</v>
      </c>
      <c r="C720" s="635" t="s">
        <v>1426</v>
      </c>
      <c r="D720" s="635"/>
      <c r="E720" s="635" t="s">
        <v>1533</v>
      </c>
      <c r="F720" s="465" t="s">
        <v>1845</v>
      </c>
      <c r="G720" s="466">
        <v>0.825</v>
      </c>
      <c r="H720" s="466">
        <v>0</v>
      </c>
      <c r="I720" s="467">
        <v>0</v>
      </c>
      <c r="J720" s="468">
        <v>0</v>
      </c>
    </row>
    <row r="721" spans="1:10" ht="12.75" outlineLevel="2">
      <c r="A721" s="645">
        <v>2141118057</v>
      </c>
      <c r="B721" s="635" t="s">
        <v>2444</v>
      </c>
      <c r="C721" s="635" t="s">
        <v>1426</v>
      </c>
      <c r="D721" s="635"/>
      <c r="E721" s="635" t="s">
        <v>1533</v>
      </c>
      <c r="F721" s="465" t="s">
        <v>473</v>
      </c>
      <c r="G721" s="466">
        <v>4.675</v>
      </c>
      <c r="H721" s="466">
        <v>0</v>
      </c>
      <c r="I721" s="467">
        <v>0</v>
      </c>
      <c r="J721" s="468">
        <v>0</v>
      </c>
    </row>
    <row r="722" spans="1:10" ht="12.75" outlineLevel="2">
      <c r="A722" s="645">
        <v>2141118058</v>
      </c>
      <c r="B722" s="635" t="s">
        <v>2444</v>
      </c>
      <c r="C722" s="635" t="s">
        <v>1427</v>
      </c>
      <c r="D722" s="635"/>
      <c r="E722" s="635" t="s">
        <v>1533</v>
      </c>
      <c r="F722" s="465" t="s">
        <v>1845</v>
      </c>
      <c r="G722" s="466">
        <v>0.825</v>
      </c>
      <c r="H722" s="466">
        <v>0</v>
      </c>
      <c r="I722" s="467">
        <v>0</v>
      </c>
      <c r="J722" s="468">
        <v>0</v>
      </c>
    </row>
    <row r="723" spans="1:10" ht="12.75" outlineLevel="2">
      <c r="A723" s="645">
        <v>2141118058</v>
      </c>
      <c r="B723" s="635" t="s">
        <v>2444</v>
      </c>
      <c r="C723" s="635" t="s">
        <v>1427</v>
      </c>
      <c r="D723" s="635"/>
      <c r="E723" s="635" t="s">
        <v>1533</v>
      </c>
      <c r="F723" s="465" t="s">
        <v>473</v>
      </c>
      <c r="G723" s="466">
        <v>4.675</v>
      </c>
      <c r="H723" s="466">
        <v>0</v>
      </c>
      <c r="I723" s="467">
        <v>0</v>
      </c>
      <c r="J723" s="468">
        <v>0</v>
      </c>
    </row>
    <row r="724" spans="1:10" ht="12.75" outlineLevel="2">
      <c r="A724" s="645">
        <v>2141118059</v>
      </c>
      <c r="B724" s="635" t="s">
        <v>2444</v>
      </c>
      <c r="C724" s="635" t="s">
        <v>1428</v>
      </c>
      <c r="D724" s="635"/>
      <c r="E724" s="635" t="s">
        <v>1533</v>
      </c>
      <c r="F724" s="465" t="s">
        <v>1845</v>
      </c>
      <c r="G724" s="466">
        <v>0.609</v>
      </c>
      <c r="H724" s="466">
        <v>0</v>
      </c>
      <c r="I724" s="467">
        <v>0</v>
      </c>
      <c r="J724" s="468">
        <v>0</v>
      </c>
    </row>
    <row r="725" spans="1:10" ht="12.75" outlineLevel="2">
      <c r="A725" s="645">
        <v>2141118059</v>
      </c>
      <c r="B725" s="635" t="s">
        <v>2444</v>
      </c>
      <c r="C725" s="635" t="s">
        <v>1428</v>
      </c>
      <c r="D725" s="635"/>
      <c r="E725" s="635" t="s">
        <v>1533</v>
      </c>
      <c r="F725" s="465" t="s">
        <v>473</v>
      </c>
      <c r="G725" s="466">
        <v>3.451</v>
      </c>
      <c r="H725" s="466">
        <v>0</v>
      </c>
      <c r="I725" s="467">
        <v>0</v>
      </c>
      <c r="J725" s="468">
        <v>0</v>
      </c>
    </row>
    <row r="726" spans="1:10" ht="12.75" outlineLevel="2">
      <c r="A726" s="645">
        <v>2141118059</v>
      </c>
      <c r="B726" s="635" t="s">
        <v>2444</v>
      </c>
      <c r="C726" s="635" t="s">
        <v>1428</v>
      </c>
      <c r="D726" s="635"/>
      <c r="E726" s="635" t="s">
        <v>1533</v>
      </c>
      <c r="F726" s="465" t="s">
        <v>96</v>
      </c>
      <c r="G726" s="466">
        <v>0.216</v>
      </c>
      <c r="H726" s="466">
        <v>0</v>
      </c>
      <c r="I726" s="467">
        <v>0</v>
      </c>
      <c r="J726" s="468">
        <v>0</v>
      </c>
    </row>
    <row r="727" spans="1:10" ht="12.75" outlineLevel="2">
      <c r="A727" s="645">
        <v>2141118059</v>
      </c>
      <c r="B727" s="635" t="s">
        <v>2444</v>
      </c>
      <c r="C727" s="635" t="s">
        <v>1428</v>
      </c>
      <c r="D727" s="635"/>
      <c r="E727" s="635" t="s">
        <v>1533</v>
      </c>
      <c r="F727" s="465" t="s">
        <v>118</v>
      </c>
      <c r="G727" s="466">
        <v>1.224</v>
      </c>
      <c r="H727" s="466">
        <v>0</v>
      </c>
      <c r="I727" s="467">
        <v>0</v>
      </c>
      <c r="J727" s="468">
        <v>0</v>
      </c>
    </row>
    <row r="728" spans="1:10" ht="12.75" outlineLevel="2">
      <c r="A728" s="645">
        <v>2141118060</v>
      </c>
      <c r="B728" s="635" t="s">
        <v>2444</v>
      </c>
      <c r="C728" s="635" t="s">
        <v>1422</v>
      </c>
      <c r="D728" s="635"/>
      <c r="E728" s="635" t="s">
        <v>1533</v>
      </c>
      <c r="F728" s="465" t="s">
        <v>1845</v>
      </c>
      <c r="G728" s="466">
        <v>0.877</v>
      </c>
      <c r="H728" s="466">
        <v>0</v>
      </c>
      <c r="I728" s="467">
        <v>0</v>
      </c>
      <c r="J728" s="468">
        <v>0</v>
      </c>
    </row>
    <row r="729" spans="1:10" ht="12.75" outlineLevel="2">
      <c r="A729" s="645">
        <v>2141118060</v>
      </c>
      <c r="B729" s="635" t="s">
        <v>2444</v>
      </c>
      <c r="C729" s="635" t="s">
        <v>1422</v>
      </c>
      <c r="D729" s="635"/>
      <c r="E729" s="635" t="s">
        <v>1533</v>
      </c>
      <c r="F729" s="465" t="s">
        <v>473</v>
      </c>
      <c r="G729" s="466">
        <v>4.973</v>
      </c>
      <c r="H729" s="466">
        <v>0</v>
      </c>
      <c r="I729" s="467">
        <v>0</v>
      </c>
      <c r="J729" s="468">
        <v>0</v>
      </c>
    </row>
    <row r="730" spans="1:10" ht="12.75" outlineLevel="2">
      <c r="A730" s="645">
        <v>2141118061</v>
      </c>
      <c r="B730" s="635" t="s">
        <v>2444</v>
      </c>
      <c r="C730" s="635" t="s">
        <v>791</v>
      </c>
      <c r="D730" s="635"/>
      <c r="E730" s="635" t="s">
        <v>1533</v>
      </c>
      <c r="F730" s="465" t="s">
        <v>1845</v>
      </c>
      <c r="G730" s="466">
        <v>1.383</v>
      </c>
      <c r="H730" s="466">
        <v>0</v>
      </c>
      <c r="I730" s="467">
        <v>0</v>
      </c>
      <c r="J730" s="468">
        <v>0</v>
      </c>
    </row>
    <row r="731" spans="1:10" ht="12.75" outlineLevel="2">
      <c r="A731" s="645">
        <v>2141118061</v>
      </c>
      <c r="B731" s="635" t="s">
        <v>2444</v>
      </c>
      <c r="C731" s="635" t="s">
        <v>791</v>
      </c>
      <c r="D731" s="635"/>
      <c r="E731" s="635" t="s">
        <v>1533</v>
      </c>
      <c r="F731" s="465" t="s">
        <v>473</v>
      </c>
      <c r="G731" s="466">
        <v>7.838</v>
      </c>
      <c r="H731" s="466">
        <v>0</v>
      </c>
      <c r="I731" s="467">
        <v>0</v>
      </c>
      <c r="J731" s="468">
        <v>0</v>
      </c>
    </row>
    <row r="732" spans="1:10" ht="12.75" outlineLevel="2">
      <c r="A732" s="645">
        <v>2141118062</v>
      </c>
      <c r="B732" s="635" t="s">
        <v>2445</v>
      </c>
      <c r="C732" s="635" t="s">
        <v>1420</v>
      </c>
      <c r="D732" s="635"/>
      <c r="E732" s="635" t="s">
        <v>1533</v>
      </c>
      <c r="F732" s="465" t="s">
        <v>1845</v>
      </c>
      <c r="G732" s="466">
        <v>3.837</v>
      </c>
      <c r="H732" s="466">
        <v>0</v>
      </c>
      <c r="I732" s="467">
        <v>0</v>
      </c>
      <c r="J732" s="468">
        <v>0</v>
      </c>
    </row>
    <row r="733" spans="1:10" ht="12.75" outlineLevel="2">
      <c r="A733" s="645">
        <v>2141118062</v>
      </c>
      <c r="B733" s="635" t="s">
        <v>2445</v>
      </c>
      <c r="C733" s="635" t="s">
        <v>1420</v>
      </c>
      <c r="D733" s="635"/>
      <c r="E733" s="635" t="s">
        <v>1533</v>
      </c>
      <c r="F733" s="465" t="s">
        <v>473</v>
      </c>
      <c r="G733" s="466">
        <v>21.746</v>
      </c>
      <c r="H733" s="466">
        <v>0</v>
      </c>
      <c r="I733" s="467">
        <v>0</v>
      </c>
      <c r="J733" s="468">
        <v>0</v>
      </c>
    </row>
    <row r="734" spans="1:10" ht="12.75" outlineLevel="2">
      <c r="A734" s="645">
        <v>2141118063</v>
      </c>
      <c r="B734" s="635" t="s">
        <v>2446</v>
      </c>
      <c r="C734" s="635" t="s">
        <v>1420</v>
      </c>
      <c r="D734" s="635"/>
      <c r="E734" s="635" t="s">
        <v>1533</v>
      </c>
      <c r="F734" s="465" t="s">
        <v>1845</v>
      </c>
      <c r="G734" s="466">
        <v>6</v>
      </c>
      <c r="H734" s="466">
        <v>0</v>
      </c>
      <c r="I734" s="467">
        <v>0</v>
      </c>
      <c r="J734" s="468">
        <v>0</v>
      </c>
    </row>
    <row r="735" spans="1:10" ht="12.75" outlineLevel="2">
      <c r="A735" s="645">
        <v>2141118064</v>
      </c>
      <c r="B735" s="635" t="s">
        <v>2447</v>
      </c>
      <c r="C735" s="635" t="s">
        <v>1420</v>
      </c>
      <c r="D735" s="635"/>
      <c r="E735" s="635" t="s">
        <v>1533</v>
      </c>
      <c r="F735" s="465" t="s">
        <v>1845</v>
      </c>
      <c r="G735" s="466">
        <v>3</v>
      </c>
      <c r="H735" s="466">
        <v>0</v>
      </c>
      <c r="I735" s="467">
        <v>0</v>
      </c>
      <c r="J735" s="468">
        <v>0</v>
      </c>
    </row>
    <row r="736" spans="1:10" ht="12.75" outlineLevel="2">
      <c r="A736" s="645">
        <v>2141118065</v>
      </c>
      <c r="B736" s="635" t="s">
        <v>2448</v>
      </c>
      <c r="C736" s="635" t="s">
        <v>2438</v>
      </c>
      <c r="D736" s="635"/>
      <c r="E736" s="635" t="s">
        <v>1533</v>
      </c>
      <c r="F736" s="465" t="s">
        <v>96</v>
      </c>
      <c r="G736" s="466">
        <v>4.286</v>
      </c>
      <c r="H736" s="466">
        <v>0</v>
      </c>
      <c r="I736" s="467">
        <v>0</v>
      </c>
      <c r="J736" s="468">
        <v>0</v>
      </c>
    </row>
    <row r="737" spans="1:10" ht="12.75" outlineLevel="2">
      <c r="A737" s="645">
        <v>2141118065</v>
      </c>
      <c r="B737" s="635" t="s">
        <v>2448</v>
      </c>
      <c r="C737" s="635" t="s">
        <v>2438</v>
      </c>
      <c r="D737" s="635"/>
      <c r="E737" s="635" t="s">
        <v>1533</v>
      </c>
      <c r="F737" s="465" t="s">
        <v>118</v>
      </c>
      <c r="G737" s="466">
        <v>24.286</v>
      </c>
      <c r="H737" s="466">
        <v>0</v>
      </c>
      <c r="I737" s="467">
        <v>0</v>
      </c>
      <c r="J737" s="468">
        <v>0</v>
      </c>
    </row>
    <row r="738" spans="1:10" ht="12.75" outlineLevel="2">
      <c r="A738" s="645">
        <v>2141118066</v>
      </c>
      <c r="B738" s="635" t="s">
        <v>2449</v>
      </c>
      <c r="C738" s="635" t="s">
        <v>2438</v>
      </c>
      <c r="D738" s="635"/>
      <c r="E738" s="635" t="s">
        <v>1533</v>
      </c>
      <c r="F738" s="465" t="s">
        <v>96</v>
      </c>
      <c r="G738" s="466">
        <v>4.791</v>
      </c>
      <c r="H738" s="466">
        <v>0</v>
      </c>
      <c r="I738" s="467">
        <v>0</v>
      </c>
      <c r="J738" s="468">
        <v>0</v>
      </c>
    </row>
    <row r="739" spans="1:10" ht="12.75" outlineLevel="2">
      <c r="A739" s="645">
        <v>2141118066</v>
      </c>
      <c r="B739" s="635" t="s">
        <v>2449</v>
      </c>
      <c r="C739" s="635" t="s">
        <v>2438</v>
      </c>
      <c r="D739" s="635"/>
      <c r="E739" s="635" t="s">
        <v>1533</v>
      </c>
      <c r="F739" s="465" t="s">
        <v>118</v>
      </c>
      <c r="G739" s="466">
        <v>27.153</v>
      </c>
      <c r="H739" s="466">
        <v>0</v>
      </c>
      <c r="I739" s="467">
        <v>0</v>
      </c>
      <c r="J739" s="468">
        <v>0</v>
      </c>
    </row>
    <row r="740" spans="1:10" ht="12.75" outlineLevel="2">
      <c r="A740" s="645">
        <v>2141118067</v>
      </c>
      <c r="B740" s="635" t="s">
        <v>2450</v>
      </c>
      <c r="C740" s="635" t="s">
        <v>2438</v>
      </c>
      <c r="D740" s="635"/>
      <c r="E740" s="635" t="s">
        <v>1533</v>
      </c>
      <c r="F740" s="465" t="s">
        <v>1845</v>
      </c>
      <c r="G740" s="466">
        <v>12.296</v>
      </c>
      <c r="H740" s="466">
        <v>0</v>
      </c>
      <c r="I740" s="467">
        <v>0</v>
      </c>
      <c r="J740" s="468">
        <v>0</v>
      </c>
    </row>
    <row r="741" spans="1:10" ht="12.75" outlineLevel="2">
      <c r="A741" s="645">
        <v>2141118067</v>
      </c>
      <c r="B741" s="635" t="s">
        <v>2450</v>
      </c>
      <c r="C741" s="635" t="s">
        <v>2438</v>
      </c>
      <c r="D741" s="635"/>
      <c r="E741" s="635" t="s">
        <v>1533</v>
      </c>
      <c r="F741" s="465" t="s">
        <v>473</v>
      </c>
      <c r="G741" s="466">
        <v>1.676</v>
      </c>
      <c r="H741" s="466">
        <v>0</v>
      </c>
      <c r="I741" s="467">
        <v>0</v>
      </c>
      <c r="J741" s="468">
        <v>0</v>
      </c>
    </row>
    <row r="742" spans="1:10" ht="12.75" outlineLevel="2">
      <c r="A742" s="645">
        <v>2141118068</v>
      </c>
      <c r="B742" s="635" t="s">
        <v>2451</v>
      </c>
      <c r="C742" s="635" t="s">
        <v>2438</v>
      </c>
      <c r="D742" s="635"/>
      <c r="E742" s="635" t="s">
        <v>1533</v>
      </c>
      <c r="F742" s="465" t="s">
        <v>1845</v>
      </c>
      <c r="G742" s="466">
        <v>4.5</v>
      </c>
      <c r="H742" s="466">
        <v>0</v>
      </c>
      <c r="I742" s="467">
        <v>0</v>
      </c>
      <c r="J742" s="468">
        <v>0</v>
      </c>
    </row>
    <row r="743" spans="1:10" ht="12.75" outlineLevel="2">
      <c r="A743" s="645">
        <v>2141118068</v>
      </c>
      <c r="B743" s="635" t="s">
        <v>2451</v>
      </c>
      <c r="C743" s="635" t="s">
        <v>2438</v>
      </c>
      <c r="D743" s="635"/>
      <c r="E743" s="635" t="s">
        <v>1533</v>
      </c>
      <c r="F743" s="465" t="s">
        <v>473</v>
      </c>
      <c r="G743" s="466">
        <v>25.5</v>
      </c>
      <c r="H743" s="466">
        <v>0</v>
      </c>
      <c r="I743" s="467">
        <v>0</v>
      </c>
      <c r="J743" s="468">
        <v>0</v>
      </c>
    </row>
    <row r="744" spans="1:10" ht="12.75" outlineLevel="2">
      <c r="A744" s="645">
        <v>2141118069</v>
      </c>
      <c r="B744" s="635" t="s">
        <v>2452</v>
      </c>
      <c r="C744" s="635" t="s">
        <v>1774</v>
      </c>
      <c r="D744" s="635"/>
      <c r="E744" s="635" t="s">
        <v>1533</v>
      </c>
      <c r="F744" s="465" t="s">
        <v>96</v>
      </c>
      <c r="G744" s="466">
        <v>2.4</v>
      </c>
      <c r="H744" s="466">
        <v>0</v>
      </c>
      <c r="I744" s="467">
        <v>0</v>
      </c>
      <c r="J744" s="468">
        <v>0</v>
      </c>
    </row>
    <row r="745" spans="1:10" ht="12.75" outlineLevel="2">
      <c r="A745" s="645">
        <v>2141118069</v>
      </c>
      <c r="B745" s="635" t="s">
        <v>2452</v>
      </c>
      <c r="C745" s="635" t="s">
        <v>1774</v>
      </c>
      <c r="D745" s="635"/>
      <c r="E745" s="635" t="s">
        <v>1533</v>
      </c>
      <c r="F745" s="465" t="s">
        <v>118</v>
      </c>
      <c r="G745" s="466">
        <v>13.6</v>
      </c>
      <c r="H745" s="466">
        <v>0</v>
      </c>
      <c r="I745" s="467">
        <v>0</v>
      </c>
      <c r="J745" s="468">
        <v>0</v>
      </c>
    </row>
    <row r="746" spans="1:10" ht="12.75" outlineLevel="2">
      <c r="A746" s="645">
        <v>2141118070</v>
      </c>
      <c r="B746" s="635" t="s">
        <v>2453</v>
      </c>
      <c r="C746" s="635" t="s">
        <v>1774</v>
      </c>
      <c r="D746" s="635"/>
      <c r="E746" s="635" t="s">
        <v>1533</v>
      </c>
      <c r="F746" s="465" t="s">
        <v>1845</v>
      </c>
      <c r="G746" s="466">
        <v>5.535</v>
      </c>
      <c r="H746" s="466">
        <v>0</v>
      </c>
      <c r="I746" s="467">
        <v>0</v>
      </c>
      <c r="J746" s="468">
        <v>0</v>
      </c>
    </row>
    <row r="747" spans="1:10" ht="12.75" outlineLevel="2">
      <c r="A747" s="645">
        <v>2141118070</v>
      </c>
      <c r="B747" s="635" t="s">
        <v>2453</v>
      </c>
      <c r="C747" s="635" t="s">
        <v>1774</v>
      </c>
      <c r="D747" s="635"/>
      <c r="E747" s="635" t="s">
        <v>1533</v>
      </c>
      <c r="F747" s="465" t="s">
        <v>473</v>
      </c>
      <c r="G747" s="466">
        <v>31.365</v>
      </c>
      <c r="H747" s="466">
        <v>0</v>
      </c>
      <c r="I747" s="467">
        <v>0</v>
      </c>
      <c r="J747" s="468">
        <v>0</v>
      </c>
    </row>
    <row r="748" spans="1:10" ht="12.75" outlineLevel="2">
      <c r="A748" s="645">
        <v>2141118071</v>
      </c>
      <c r="B748" s="635" t="s">
        <v>2454</v>
      </c>
      <c r="C748" s="635" t="s">
        <v>1774</v>
      </c>
      <c r="D748" s="635"/>
      <c r="E748" s="635" t="s">
        <v>1533</v>
      </c>
      <c r="F748" s="465" t="s">
        <v>96</v>
      </c>
      <c r="G748" s="466">
        <v>7.288</v>
      </c>
      <c r="H748" s="466">
        <v>0</v>
      </c>
      <c r="I748" s="467">
        <v>0</v>
      </c>
      <c r="J748" s="468">
        <v>0</v>
      </c>
    </row>
    <row r="749" spans="1:10" ht="12.75" outlineLevel="2">
      <c r="A749" s="645">
        <v>2141118071</v>
      </c>
      <c r="B749" s="635" t="s">
        <v>2454</v>
      </c>
      <c r="C749" s="635" t="s">
        <v>1774</v>
      </c>
      <c r="D749" s="635"/>
      <c r="E749" s="635" t="s">
        <v>1533</v>
      </c>
      <c r="F749" s="465" t="s">
        <v>118</v>
      </c>
      <c r="G749" s="466">
        <v>41.297</v>
      </c>
      <c r="H749" s="466">
        <v>0</v>
      </c>
      <c r="I749" s="467">
        <v>0</v>
      </c>
      <c r="J749" s="468">
        <v>0</v>
      </c>
    </row>
    <row r="750" spans="1:10" ht="12.75" outlineLevel="2">
      <c r="A750" s="645">
        <v>2141118072</v>
      </c>
      <c r="B750" s="635" t="s">
        <v>2455</v>
      </c>
      <c r="C750" s="635" t="s">
        <v>1420</v>
      </c>
      <c r="D750" s="635"/>
      <c r="E750" s="635" t="s">
        <v>1533</v>
      </c>
      <c r="F750" s="465" t="s">
        <v>1845</v>
      </c>
      <c r="G750" s="466">
        <v>0.25</v>
      </c>
      <c r="H750" s="466">
        <v>0</v>
      </c>
      <c r="I750" s="467">
        <v>0</v>
      </c>
      <c r="J750" s="468">
        <v>0</v>
      </c>
    </row>
    <row r="751" spans="1:10" ht="12.75" outlineLevel="2">
      <c r="A751" s="645">
        <v>2141118073</v>
      </c>
      <c r="B751" s="635" t="s">
        <v>2456</v>
      </c>
      <c r="C751" s="635" t="s">
        <v>1774</v>
      </c>
      <c r="D751" s="635"/>
      <c r="E751" s="635" t="s">
        <v>1494</v>
      </c>
      <c r="F751" s="465" t="s">
        <v>1845</v>
      </c>
      <c r="G751" s="466">
        <v>0</v>
      </c>
      <c r="H751" s="466">
        <v>0.943</v>
      </c>
      <c r="I751" s="467">
        <v>0.943</v>
      </c>
      <c r="J751" s="468">
        <v>0</v>
      </c>
    </row>
    <row r="752" spans="1:10" ht="12.75" outlineLevel="2">
      <c r="A752" s="645">
        <v>2141118073</v>
      </c>
      <c r="B752" s="635" t="s">
        <v>2456</v>
      </c>
      <c r="C752" s="635" t="s">
        <v>1774</v>
      </c>
      <c r="D752" s="635"/>
      <c r="E752" s="635" t="s">
        <v>1494</v>
      </c>
      <c r="F752" s="465" t="s">
        <v>96</v>
      </c>
      <c r="G752" s="466">
        <v>3.3</v>
      </c>
      <c r="H752" s="466">
        <v>2.915</v>
      </c>
      <c r="I752" s="467">
        <v>2.915</v>
      </c>
      <c r="J752" s="468">
        <v>0</v>
      </c>
    </row>
    <row r="753" spans="1:10" ht="12.75" outlineLevel="2">
      <c r="A753" s="645">
        <v>2141118074</v>
      </c>
      <c r="B753" s="635" t="s">
        <v>2457</v>
      </c>
      <c r="C753" s="635" t="s">
        <v>1422</v>
      </c>
      <c r="D753" s="635"/>
      <c r="E753" s="635" t="s">
        <v>1494</v>
      </c>
      <c r="F753" s="465" t="s">
        <v>1845</v>
      </c>
      <c r="G753" s="466">
        <v>0</v>
      </c>
      <c r="H753" s="466">
        <v>4.15</v>
      </c>
      <c r="I753" s="467">
        <v>4.15</v>
      </c>
      <c r="J753" s="468">
        <v>0</v>
      </c>
    </row>
    <row r="754" spans="1:10" ht="12.75" outlineLevel="2">
      <c r="A754" s="645">
        <v>2141118075</v>
      </c>
      <c r="B754" s="635" t="s">
        <v>2458</v>
      </c>
      <c r="C754" s="635" t="s">
        <v>1426</v>
      </c>
      <c r="D754" s="635"/>
      <c r="E754" s="635" t="s">
        <v>1494</v>
      </c>
      <c r="F754" s="465" t="s">
        <v>1845</v>
      </c>
      <c r="G754" s="466">
        <v>0</v>
      </c>
      <c r="H754" s="466">
        <v>7.67</v>
      </c>
      <c r="I754" s="467">
        <v>7.67</v>
      </c>
      <c r="J754" s="468">
        <v>0</v>
      </c>
    </row>
    <row r="755" spans="1:10" ht="12.75" outlineLevel="2">
      <c r="A755" s="645">
        <v>2141118075</v>
      </c>
      <c r="B755" s="635" t="s">
        <v>2458</v>
      </c>
      <c r="C755" s="635" t="s">
        <v>1426</v>
      </c>
      <c r="D755" s="635"/>
      <c r="E755" s="635" t="s">
        <v>1494</v>
      </c>
      <c r="F755" s="465" t="s">
        <v>96</v>
      </c>
      <c r="G755" s="466">
        <v>0</v>
      </c>
      <c r="H755" s="466">
        <v>0.551</v>
      </c>
      <c r="I755" s="467">
        <v>0.55</v>
      </c>
      <c r="J755" s="468">
        <v>0.001</v>
      </c>
    </row>
    <row r="756" spans="1:10" ht="12.75" outlineLevel="2">
      <c r="A756" s="645">
        <v>2141118076</v>
      </c>
      <c r="B756" s="635" t="s">
        <v>2459</v>
      </c>
      <c r="C756" s="635" t="s">
        <v>2438</v>
      </c>
      <c r="D756" s="635"/>
      <c r="E756" s="635" t="s">
        <v>1494</v>
      </c>
      <c r="F756" s="465" t="s">
        <v>1845</v>
      </c>
      <c r="G756" s="466">
        <v>0</v>
      </c>
      <c r="H756" s="466">
        <v>8.719</v>
      </c>
      <c r="I756" s="467">
        <v>8.719</v>
      </c>
      <c r="J756" s="468">
        <v>0</v>
      </c>
    </row>
    <row r="757" spans="1:10" ht="12.75" outlineLevel="2">
      <c r="A757" s="645">
        <v>2141118078</v>
      </c>
      <c r="B757" s="635" t="s">
        <v>2460</v>
      </c>
      <c r="C757" s="635" t="s">
        <v>1420</v>
      </c>
      <c r="D757" s="635"/>
      <c r="E757" s="635" t="s">
        <v>1494</v>
      </c>
      <c r="F757" s="465" t="s">
        <v>1845</v>
      </c>
      <c r="G757" s="466">
        <v>0</v>
      </c>
      <c r="H757" s="466">
        <v>3.101</v>
      </c>
      <c r="I757" s="467">
        <v>3.098</v>
      </c>
      <c r="J757" s="468">
        <v>0.003</v>
      </c>
    </row>
    <row r="758" spans="1:10" ht="12.75" outlineLevel="2">
      <c r="A758" s="645">
        <v>2141118078</v>
      </c>
      <c r="B758" s="635" t="s">
        <v>2460</v>
      </c>
      <c r="C758" s="635" t="s">
        <v>1420</v>
      </c>
      <c r="D758" s="635"/>
      <c r="E758" s="635" t="s">
        <v>1494</v>
      </c>
      <c r="F758" s="465" t="s">
        <v>96</v>
      </c>
      <c r="G758" s="466">
        <v>0</v>
      </c>
      <c r="H758" s="466">
        <v>0.203</v>
      </c>
      <c r="I758" s="467">
        <v>0.202</v>
      </c>
      <c r="J758" s="468">
        <v>0.001</v>
      </c>
    </row>
    <row r="759" spans="1:10" ht="12.75" outlineLevel="2">
      <c r="A759" s="645">
        <v>2141118079</v>
      </c>
      <c r="B759" s="635" t="s">
        <v>2461</v>
      </c>
      <c r="C759" s="635" t="s">
        <v>1425</v>
      </c>
      <c r="D759" s="635"/>
      <c r="E759" s="635" t="s">
        <v>1494</v>
      </c>
      <c r="F759" s="465" t="s">
        <v>1845</v>
      </c>
      <c r="G759" s="466">
        <v>0</v>
      </c>
      <c r="H759" s="466">
        <v>2.505</v>
      </c>
      <c r="I759" s="467">
        <v>2.501</v>
      </c>
      <c r="J759" s="468">
        <v>0.004</v>
      </c>
    </row>
    <row r="760" spans="1:10" ht="12.75" outlineLevel="2">
      <c r="A760" s="645">
        <v>2141118080</v>
      </c>
      <c r="B760" s="635" t="s">
        <v>2462</v>
      </c>
      <c r="C760" s="635" t="s">
        <v>1425</v>
      </c>
      <c r="D760" s="635"/>
      <c r="E760" s="635" t="s">
        <v>1494</v>
      </c>
      <c r="F760" s="465" t="s">
        <v>1845</v>
      </c>
      <c r="G760" s="466">
        <v>0</v>
      </c>
      <c r="H760" s="466">
        <v>0.995</v>
      </c>
      <c r="I760" s="467">
        <v>0.995</v>
      </c>
      <c r="J760" s="468">
        <v>0</v>
      </c>
    </row>
    <row r="761" spans="1:10" ht="12.75" outlineLevel="2">
      <c r="A761" s="645">
        <v>2141118081</v>
      </c>
      <c r="B761" s="635" t="s">
        <v>2463</v>
      </c>
      <c r="C761" s="635" t="s">
        <v>1425</v>
      </c>
      <c r="D761" s="635"/>
      <c r="E761" s="635" t="s">
        <v>1494</v>
      </c>
      <c r="F761" s="465" t="s">
        <v>1845</v>
      </c>
      <c r="G761" s="466">
        <v>0</v>
      </c>
      <c r="H761" s="466">
        <v>5</v>
      </c>
      <c r="I761" s="467">
        <v>4.999</v>
      </c>
      <c r="J761" s="468">
        <v>0.001</v>
      </c>
    </row>
    <row r="762" spans="1:10" ht="12.75" outlineLevel="2">
      <c r="A762" s="645">
        <v>2141118082</v>
      </c>
      <c r="B762" s="635" t="s">
        <v>2464</v>
      </c>
      <c r="C762" s="635" t="s">
        <v>1420</v>
      </c>
      <c r="D762" s="635"/>
      <c r="E762" s="635" t="s">
        <v>1494</v>
      </c>
      <c r="F762" s="465" t="s">
        <v>1845</v>
      </c>
      <c r="G762" s="466">
        <v>0</v>
      </c>
      <c r="H762" s="466">
        <v>3.941</v>
      </c>
      <c r="I762" s="467">
        <v>3.941</v>
      </c>
      <c r="J762" s="468">
        <v>0</v>
      </c>
    </row>
    <row r="763" spans="1:10" ht="12.75" outlineLevel="2">
      <c r="A763" s="645">
        <v>2141118082</v>
      </c>
      <c r="B763" s="635" t="s">
        <v>2464</v>
      </c>
      <c r="C763" s="635" t="s">
        <v>1420</v>
      </c>
      <c r="D763" s="635"/>
      <c r="E763" s="635" t="s">
        <v>1494</v>
      </c>
      <c r="F763" s="465" t="s">
        <v>96</v>
      </c>
      <c r="G763" s="466">
        <v>0</v>
      </c>
      <c r="H763" s="466">
        <v>0.058</v>
      </c>
      <c r="I763" s="467">
        <v>0.057</v>
      </c>
      <c r="J763" s="468">
        <v>0.001</v>
      </c>
    </row>
    <row r="764" spans="1:10" ht="12.75" outlineLevel="2">
      <c r="A764" s="645">
        <v>2141118083</v>
      </c>
      <c r="B764" s="635" t="s">
        <v>579</v>
      </c>
      <c r="C764" s="635" t="s">
        <v>1428</v>
      </c>
      <c r="D764" s="635"/>
      <c r="E764" s="635" t="s">
        <v>1494</v>
      </c>
      <c r="F764" s="465" t="s">
        <v>1845</v>
      </c>
      <c r="G764" s="466">
        <v>0</v>
      </c>
      <c r="H764" s="466">
        <v>2.917</v>
      </c>
      <c r="I764" s="467">
        <v>2.915</v>
      </c>
      <c r="J764" s="468">
        <v>0.002</v>
      </c>
    </row>
    <row r="765" spans="1:10" ht="12.75" outlineLevel="2">
      <c r="A765" s="645">
        <v>2141118083</v>
      </c>
      <c r="B765" s="635" t="s">
        <v>579</v>
      </c>
      <c r="C765" s="635" t="s">
        <v>1428</v>
      </c>
      <c r="D765" s="635"/>
      <c r="E765" s="635" t="s">
        <v>1494</v>
      </c>
      <c r="F765" s="465" t="s">
        <v>96</v>
      </c>
      <c r="G765" s="466">
        <v>0</v>
      </c>
      <c r="H765" s="466">
        <v>0.378</v>
      </c>
      <c r="I765" s="467">
        <v>0.378</v>
      </c>
      <c r="J765" s="468">
        <v>0</v>
      </c>
    </row>
    <row r="766" spans="1:10" ht="12.75" outlineLevel="2">
      <c r="A766" s="645">
        <v>2141118084</v>
      </c>
      <c r="B766" s="635" t="s">
        <v>2465</v>
      </c>
      <c r="C766" s="635" t="s">
        <v>1423</v>
      </c>
      <c r="D766" s="635"/>
      <c r="E766" s="635" t="s">
        <v>1494</v>
      </c>
      <c r="F766" s="465" t="s">
        <v>1845</v>
      </c>
      <c r="G766" s="466">
        <v>0</v>
      </c>
      <c r="H766" s="466">
        <v>0.027</v>
      </c>
      <c r="I766" s="467">
        <v>0.027</v>
      </c>
      <c r="J766" s="468">
        <v>0</v>
      </c>
    </row>
    <row r="767" spans="1:10" ht="12.75" outlineLevel="2">
      <c r="A767" s="645">
        <v>2141118084</v>
      </c>
      <c r="B767" s="635" t="s">
        <v>2465</v>
      </c>
      <c r="C767" s="635" t="s">
        <v>1423</v>
      </c>
      <c r="D767" s="635"/>
      <c r="E767" s="635" t="s">
        <v>1494</v>
      </c>
      <c r="F767" s="465" t="s">
        <v>96</v>
      </c>
      <c r="G767" s="466">
        <v>0</v>
      </c>
      <c r="H767" s="466">
        <v>1.728</v>
      </c>
      <c r="I767" s="467">
        <v>1.727</v>
      </c>
      <c r="J767" s="468">
        <v>0.001</v>
      </c>
    </row>
    <row r="768" spans="1:10" ht="12.75" outlineLevel="2">
      <c r="A768" s="645">
        <v>2141118085</v>
      </c>
      <c r="B768" s="635" t="s">
        <v>2466</v>
      </c>
      <c r="C768" s="635" t="s">
        <v>2438</v>
      </c>
      <c r="D768" s="635"/>
      <c r="E768" s="635" t="s">
        <v>1494</v>
      </c>
      <c r="F768" s="465" t="s">
        <v>1845</v>
      </c>
      <c r="G768" s="466">
        <v>0</v>
      </c>
      <c r="H768" s="466">
        <v>1.757</v>
      </c>
      <c r="I768" s="467">
        <v>1.756</v>
      </c>
      <c r="J768" s="468">
        <v>0.001</v>
      </c>
    </row>
    <row r="769" spans="1:10" ht="12.75" outlineLevel="2">
      <c r="A769" s="645">
        <v>2141118086</v>
      </c>
      <c r="B769" s="635" t="s">
        <v>2467</v>
      </c>
      <c r="C769" s="635" t="s">
        <v>1420</v>
      </c>
      <c r="D769" s="635"/>
      <c r="E769" s="635" t="s">
        <v>1494</v>
      </c>
      <c r="F769" s="465" t="s">
        <v>1845</v>
      </c>
      <c r="G769" s="466">
        <v>0</v>
      </c>
      <c r="H769" s="466">
        <v>16.45</v>
      </c>
      <c r="I769" s="467">
        <v>16.45</v>
      </c>
      <c r="J769" s="468">
        <v>0</v>
      </c>
    </row>
    <row r="770" spans="1:10" ht="12.75" outlineLevel="2">
      <c r="A770" s="645">
        <v>2141118086</v>
      </c>
      <c r="B770" s="635" t="s">
        <v>2467</v>
      </c>
      <c r="C770" s="635" t="s">
        <v>1420</v>
      </c>
      <c r="D770" s="635"/>
      <c r="E770" s="635" t="s">
        <v>1494</v>
      </c>
      <c r="F770" s="465" t="s">
        <v>96</v>
      </c>
      <c r="G770" s="466">
        <v>0</v>
      </c>
      <c r="H770" s="466">
        <v>0.335</v>
      </c>
      <c r="I770" s="467">
        <v>0.334</v>
      </c>
      <c r="J770" s="468">
        <v>0.001</v>
      </c>
    </row>
    <row r="771" spans="1:10" ht="12.75" outlineLevel="2">
      <c r="A771" s="645">
        <v>2141118087</v>
      </c>
      <c r="B771" s="635" t="s">
        <v>2468</v>
      </c>
      <c r="C771" s="635" t="s">
        <v>1427</v>
      </c>
      <c r="D771" s="635"/>
      <c r="E771" s="635" t="s">
        <v>1494</v>
      </c>
      <c r="F771" s="465" t="s">
        <v>1845</v>
      </c>
      <c r="G771" s="466">
        <v>0</v>
      </c>
      <c r="H771" s="466">
        <v>0.69</v>
      </c>
      <c r="I771" s="467">
        <v>0.689</v>
      </c>
      <c r="J771" s="468">
        <v>0.001</v>
      </c>
    </row>
    <row r="772" spans="1:10" ht="12.75" outlineLevel="2">
      <c r="A772" s="645">
        <v>2141118088</v>
      </c>
      <c r="B772" s="635" t="s">
        <v>2469</v>
      </c>
      <c r="C772" s="635" t="s">
        <v>1427</v>
      </c>
      <c r="D772" s="635"/>
      <c r="E772" s="635" t="s">
        <v>1494</v>
      </c>
      <c r="F772" s="465" t="s">
        <v>1845</v>
      </c>
      <c r="G772" s="466">
        <v>0</v>
      </c>
      <c r="H772" s="466">
        <v>2.149</v>
      </c>
      <c r="I772" s="467">
        <v>2.148</v>
      </c>
      <c r="J772" s="468">
        <v>0.001</v>
      </c>
    </row>
    <row r="773" spans="1:10" ht="12.75" outlineLevel="2">
      <c r="A773" s="645">
        <v>2141118089</v>
      </c>
      <c r="B773" s="635" t="s">
        <v>2470</v>
      </c>
      <c r="C773" s="635" t="s">
        <v>1420</v>
      </c>
      <c r="D773" s="635"/>
      <c r="E773" s="635" t="s">
        <v>1494</v>
      </c>
      <c r="F773" s="465" t="s">
        <v>332</v>
      </c>
      <c r="G773" s="466">
        <v>0</v>
      </c>
      <c r="H773" s="466">
        <v>0</v>
      </c>
      <c r="I773" s="467">
        <v>0.529</v>
      </c>
      <c r="J773" s="468">
        <v>0</v>
      </c>
    </row>
    <row r="774" spans="1:10" ht="12.75" outlineLevel="2">
      <c r="A774" s="645">
        <v>2141118089</v>
      </c>
      <c r="B774" s="635" t="s">
        <v>2470</v>
      </c>
      <c r="C774" s="635" t="s">
        <v>1420</v>
      </c>
      <c r="D774" s="635"/>
      <c r="E774" s="635" t="s">
        <v>1494</v>
      </c>
      <c r="F774" s="465" t="s">
        <v>333</v>
      </c>
      <c r="G774" s="466">
        <v>0</v>
      </c>
      <c r="H774" s="466">
        <v>0</v>
      </c>
      <c r="I774" s="467">
        <v>0.468</v>
      </c>
      <c r="J774" s="468">
        <v>0</v>
      </c>
    </row>
    <row r="775" spans="1:10" ht="12.75" outlineLevel="2">
      <c r="A775" s="645">
        <v>2141118090</v>
      </c>
      <c r="B775" s="635" t="s">
        <v>2471</v>
      </c>
      <c r="C775" s="635" t="s">
        <v>2438</v>
      </c>
      <c r="D775" s="635"/>
      <c r="E775" s="635" t="s">
        <v>1494</v>
      </c>
      <c r="F775" s="465" t="s">
        <v>1845</v>
      </c>
      <c r="G775" s="466">
        <v>0</v>
      </c>
      <c r="H775" s="466">
        <v>0.609</v>
      </c>
      <c r="I775" s="467">
        <v>0.608</v>
      </c>
      <c r="J775" s="468">
        <v>0.001</v>
      </c>
    </row>
    <row r="776" spans="1:10" ht="12.75" outlineLevel="2">
      <c r="A776" s="645">
        <v>2141118091</v>
      </c>
      <c r="B776" s="635" t="s">
        <v>2472</v>
      </c>
      <c r="C776" s="635" t="s">
        <v>2438</v>
      </c>
      <c r="D776" s="635"/>
      <c r="E776" s="635" t="s">
        <v>1494</v>
      </c>
      <c r="F776" s="465" t="s">
        <v>473</v>
      </c>
      <c r="G776" s="466">
        <v>0</v>
      </c>
      <c r="H776" s="466">
        <v>0.994</v>
      </c>
      <c r="I776" s="467">
        <v>0.994</v>
      </c>
      <c r="J776" s="468">
        <v>0</v>
      </c>
    </row>
    <row r="777" spans="1:10" ht="12.75" outlineLevel="2">
      <c r="A777" s="645" t="s">
        <v>2473</v>
      </c>
      <c r="B777" s="635" t="s">
        <v>2472</v>
      </c>
      <c r="C777" s="635" t="s">
        <v>2438</v>
      </c>
      <c r="D777" s="635"/>
      <c r="E777" s="635" t="s">
        <v>1494</v>
      </c>
      <c r="F777" s="465" t="s">
        <v>2474</v>
      </c>
      <c r="G777" s="466">
        <v>0</v>
      </c>
      <c r="H777" s="466">
        <v>0</v>
      </c>
      <c r="I777" s="467">
        <v>3.761</v>
      </c>
      <c r="J777" s="468">
        <v>0</v>
      </c>
    </row>
    <row r="778" spans="1:10" ht="12.75" outlineLevel="2">
      <c r="A778" s="645">
        <v>2141118092</v>
      </c>
      <c r="B778" s="635" t="s">
        <v>2475</v>
      </c>
      <c r="C778" s="635" t="s">
        <v>2438</v>
      </c>
      <c r="D778" s="635"/>
      <c r="E778" s="635" t="s">
        <v>1494</v>
      </c>
      <c r="F778" s="465" t="s">
        <v>1845</v>
      </c>
      <c r="G778" s="466">
        <v>0</v>
      </c>
      <c r="H778" s="466">
        <v>0.243</v>
      </c>
      <c r="I778" s="467">
        <v>0.242</v>
      </c>
      <c r="J778" s="468">
        <v>0.001</v>
      </c>
    </row>
    <row r="779" spans="1:10" ht="12.75" outlineLevel="2">
      <c r="A779" s="645">
        <v>2141118093</v>
      </c>
      <c r="B779" s="635" t="s">
        <v>2476</v>
      </c>
      <c r="C779" s="635" t="s">
        <v>2438</v>
      </c>
      <c r="D779" s="635"/>
      <c r="E779" s="635" t="s">
        <v>1494</v>
      </c>
      <c r="F779" s="465" t="s">
        <v>2474</v>
      </c>
      <c r="G779" s="466">
        <v>0</v>
      </c>
      <c r="H779" s="466">
        <v>0</v>
      </c>
      <c r="I779" s="467">
        <v>1.88</v>
      </c>
      <c r="J779" s="468">
        <v>0</v>
      </c>
    </row>
    <row r="780" spans="1:10" ht="12.75" outlineLevel="2">
      <c r="A780" s="645">
        <v>2141118094</v>
      </c>
      <c r="B780" s="635" t="s">
        <v>2477</v>
      </c>
      <c r="C780" s="635" t="s">
        <v>1420</v>
      </c>
      <c r="D780" s="635"/>
      <c r="E780" s="635" t="s">
        <v>1494</v>
      </c>
      <c r="F780" s="465" t="s">
        <v>96</v>
      </c>
      <c r="G780" s="466">
        <v>0</v>
      </c>
      <c r="H780" s="466">
        <v>0.2</v>
      </c>
      <c r="I780" s="467">
        <v>0.199</v>
      </c>
      <c r="J780" s="468">
        <v>0.001</v>
      </c>
    </row>
    <row r="781" spans="1:10" ht="12.75" outlineLevel="2">
      <c r="A781" s="645">
        <v>2141118095</v>
      </c>
      <c r="B781" s="635" t="s">
        <v>2478</v>
      </c>
      <c r="C781" s="635" t="s">
        <v>1422</v>
      </c>
      <c r="D781" s="635"/>
      <c r="E781" s="635" t="s">
        <v>1494</v>
      </c>
      <c r="F781" s="465" t="s">
        <v>1845</v>
      </c>
      <c r="G781" s="466">
        <v>0</v>
      </c>
      <c r="H781" s="466">
        <v>0.026</v>
      </c>
      <c r="I781" s="467">
        <v>0.025</v>
      </c>
      <c r="J781" s="468">
        <v>0.001</v>
      </c>
    </row>
    <row r="782" spans="1:10" ht="12.75" outlineLevel="2">
      <c r="A782" s="645">
        <v>2141118095</v>
      </c>
      <c r="B782" s="635" t="s">
        <v>2478</v>
      </c>
      <c r="C782" s="635" t="s">
        <v>1422</v>
      </c>
      <c r="D782" s="635"/>
      <c r="E782" s="635" t="s">
        <v>1494</v>
      </c>
      <c r="F782" s="465" t="s">
        <v>96</v>
      </c>
      <c r="G782" s="466">
        <v>0</v>
      </c>
      <c r="H782" s="466">
        <v>0.42</v>
      </c>
      <c r="I782" s="467">
        <v>0</v>
      </c>
      <c r="J782" s="468">
        <v>0.42</v>
      </c>
    </row>
    <row r="783" spans="1:10" ht="12.75" outlineLevel="2">
      <c r="A783" s="645">
        <v>2141118096</v>
      </c>
      <c r="B783" s="635" t="s">
        <v>2479</v>
      </c>
      <c r="C783" s="635" t="s">
        <v>1422</v>
      </c>
      <c r="D783" s="635"/>
      <c r="E783" s="635" t="s">
        <v>1494</v>
      </c>
      <c r="F783" s="465" t="s">
        <v>1845</v>
      </c>
      <c r="G783" s="466">
        <v>0</v>
      </c>
      <c r="H783" s="466">
        <v>0.12</v>
      </c>
      <c r="I783" s="467">
        <v>0.119</v>
      </c>
      <c r="J783" s="468">
        <v>0.001</v>
      </c>
    </row>
    <row r="784" spans="1:10" ht="12.75" outlineLevel="2">
      <c r="A784" s="645">
        <v>2141118097</v>
      </c>
      <c r="B784" s="635" t="s">
        <v>2480</v>
      </c>
      <c r="C784" s="635" t="s">
        <v>1422</v>
      </c>
      <c r="D784" s="635"/>
      <c r="E784" s="635" t="s">
        <v>1494</v>
      </c>
      <c r="F784" s="465" t="s">
        <v>96</v>
      </c>
      <c r="G784" s="466">
        <v>0</v>
      </c>
      <c r="H784" s="466">
        <v>0.098</v>
      </c>
      <c r="I784" s="467">
        <v>0.097</v>
      </c>
      <c r="J784" s="468">
        <v>0.001</v>
      </c>
    </row>
    <row r="785" spans="1:10" ht="12.75" outlineLevel="2">
      <c r="A785" s="645">
        <v>2141118098</v>
      </c>
      <c r="B785" s="635" t="s">
        <v>2481</v>
      </c>
      <c r="C785" s="635" t="s">
        <v>1426</v>
      </c>
      <c r="D785" s="635"/>
      <c r="E785" s="635" t="s">
        <v>1494</v>
      </c>
      <c r="F785" s="465" t="s">
        <v>332</v>
      </c>
      <c r="G785" s="466">
        <v>0</v>
      </c>
      <c r="H785" s="466">
        <v>0</v>
      </c>
      <c r="I785" s="467">
        <v>0.196</v>
      </c>
      <c r="J785" s="468">
        <v>0</v>
      </c>
    </row>
    <row r="786" spans="1:10" ht="12.75" outlineLevel="2">
      <c r="A786" s="645">
        <v>2141118098</v>
      </c>
      <c r="B786" s="635" t="s">
        <v>2481</v>
      </c>
      <c r="C786" s="635" t="s">
        <v>1426</v>
      </c>
      <c r="D786" s="635"/>
      <c r="E786" s="635" t="s">
        <v>1494</v>
      </c>
      <c r="F786" s="465" t="s">
        <v>333</v>
      </c>
      <c r="G786" s="466">
        <v>0</v>
      </c>
      <c r="H786" s="466">
        <v>0</v>
      </c>
      <c r="I786" s="467">
        <v>0.334</v>
      </c>
      <c r="J786" s="468">
        <v>0</v>
      </c>
    </row>
    <row r="787" spans="1:10" ht="12.75" outlineLevel="2">
      <c r="A787" s="645">
        <v>2141118100</v>
      </c>
      <c r="B787" s="635" t="s">
        <v>2482</v>
      </c>
      <c r="C787" s="635" t="s">
        <v>1420</v>
      </c>
      <c r="D787" s="635"/>
      <c r="E787" s="635" t="s">
        <v>1494</v>
      </c>
      <c r="F787" s="465" t="s">
        <v>96</v>
      </c>
      <c r="G787" s="466">
        <v>0</v>
      </c>
      <c r="H787" s="466">
        <v>2</v>
      </c>
      <c r="I787" s="467">
        <v>1.654</v>
      </c>
      <c r="J787" s="468">
        <v>0.346</v>
      </c>
    </row>
    <row r="788" spans="1:10" ht="12.75" outlineLevel="2">
      <c r="A788" s="645">
        <v>2141118101</v>
      </c>
      <c r="B788" s="635" t="s">
        <v>865</v>
      </c>
      <c r="C788" s="635" t="s">
        <v>2438</v>
      </c>
      <c r="D788" s="635"/>
      <c r="E788" s="635" t="s">
        <v>1494</v>
      </c>
      <c r="F788" s="465" t="s">
        <v>96</v>
      </c>
      <c r="G788" s="466">
        <v>0</v>
      </c>
      <c r="H788" s="466">
        <v>1.911</v>
      </c>
      <c r="I788" s="467">
        <v>0</v>
      </c>
      <c r="J788" s="468">
        <v>1.911</v>
      </c>
    </row>
    <row r="789" spans="1:10" ht="12.75" outlineLevel="2">
      <c r="A789" s="645">
        <v>2141118101</v>
      </c>
      <c r="B789" s="635" t="s">
        <v>865</v>
      </c>
      <c r="C789" s="635" t="s">
        <v>2438</v>
      </c>
      <c r="D789" s="635"/>
      <c r="E789" s="635" t="s">
        <v>1494</v>
      </c>
      <c r="F789" s="465" t="s">
        <v>2413</v>
      </c>
      <c r="G789" s="466">
        <v>0</v>
      </c>
      <c r="H789" s="466">
        <v>10.829</v>
      </c>
      <c r="I789" s="467">
        <v>0</v>
      </c>
      <c r="J789" s="468">
        <v>10.829</v>
      </c>
    </row>
    <row r="790" spans="1:10" ht="12.75" outlineLevel="2">
      <c r="A790" s="645">
        <v>2141118102</v>
      </c>
      <c r="B790" s="635" t="s">
        <v>866</v>
      </c>
      <c r="C790" s="635" t="s">
        <v>1420</v>
      </c>
      <c r="D790" s="635"/>
      <c r="E790" s="635" t="s">
        <v>1494</v>
      </c>
      <c r="F790" s="465" t="s">
        <v>1845</v>
      </c>
      <c r="G790" s="466">
        <v>0</v>
      </c>
      <c r="H790" s="466">
        <v>0.05</v>
      </c>
      <c r="I790" s="467">
        <v>0.049</v>
      </c>
      <c r="J790" s="468">
        <v>0.001</v>
      </c>
    </row>
    <row r="791" spans="1:10" ht="12.75" outlineLevel="2">
      <c r="A791" s="645">
        <v>2141118102</v>
      </c>
      <c r="B791" s="635" t="s">
        <v>866</v>
      </c>
      <c r="C791" s="635" t="s">
        <v>1420</v>
      </c>
      <c r="D791" s="635"/>
      <c r="E791" s="635" t="s">
        <v>1494</v>
      </c>
      <c r="F791" s="465" t="s">
        <v>96</v>
      </c>
      <c r="G791" s="466">
        <v>0</v>
      </c>
      <c r="H791" s="466">
        <v>0.071</v>
      </c>
      <c r="I791" s="467">
        <v>0.071</v>
      </c>
      <c r="J791" s="468">
        <v>0</v>
      </c>
    </row>
    <row r="792" spans="1:10" ht="12.75" outlineLevel="2">
      <c r="A792" s="645">
        <v>2141118103</v>
      </c>
      <c r="B792" s="635" t="s">
        <v>867</v>
      </c>
      <c r="C792" s="635" t="s">
        <v>1420</v>
      </c>
      <c r="D792" s="635"/>
      <c r="E792" s="635" t="s">
        <v>1494</v>
      </c>
      <c r="F792" s="465" t="s">
        <v>96</v>
      </c>
      <c r="G792" s="466">
        <v>0</v>
      </c>
      <c r="H792" s="466">
        <v>0.77</v>
      </c>
      <c r="I792" s="467">
        <v>0.77</v>
      </c>
      <c r="J792" s="468">
        <v>0</v>
      </c>
    </row>
    <row r="793" spans="1:10" ht="12.75" outlineLevel="2">
      <c r="A793" s="645">
        <v>2141118104</v>
      </c>
      <c r="B793" s="635" t="s">
        <v>868</v>
      </c>
      <c r="C793" s="635" t="s">
        <v>1424</v>
      </c>
      <c r="D793" s="635"/>
      <c r="E793" s="635" t="s">
        <v>1494</v>
      </c>
      <c r="F793" s="465" t="s">
        <v>1845</v>
      </c>
      <c r="G793" s="466">
        <v>0</v>
      </c>
      <c r="H793" s="466">
        <v>0.034</v>
      </c>
      <c r="I793" s="467">
        <v>0.033</v>
      </c>
      <c r="J793" s="468">
        <v>0.001</v>
      </c>
    </row>
    <row r="794" spans="1:10" ht="12.75" outlineLevel="2">
      <c r="A794" s="645">
        <v>2141118105</v>
      </c>
      <c r="B794" s="635" t="s">
        <v>869</v>
      </c>
      <c r="C794" s="635" t="s">
        <v>1427</v>
      </c>
      <c r="D794" s="635"/>
      <c r="E794" s="635" t="s">
        <v>1494</v>
      </c>
      <c r="F794" s="465" t="s">
        <v>1845</v>
      </c>
      <c r="G794" s="466">
        <v>0</v>
      </c>
      <c r="H794" s="466">
        <v>3.95</v>
      </c>
      <c r="I794" s="467">
        <v>3.948</v>
      </c>
      <c r="J794" s="468">
        <v>0.002</v>
      </c>
    </row>
    <row r="795" spans="1:10" ht="12.75" outlineLevel="2">
      <c r="A795" s="645">
        <v>2141118106</v>
      </c>
      <c r="B795" s="635" t="s">
        <v>870</v>
      </c>
      <c r="C795" s="635" t="s">
        <v>2438</v>
      </c>
      <c r="D795" s="635"/>
      <c r="E795" s="635" t="s">
        <v>1494</v>
      </c>
      <c r="F795" s="465" t="s">
        <v>1845</v>
      </c>
      <c r="G795" s="466">
        <v>0</v>
      </c>
      <c r="H795" s="466">
        <v>11.414</v>
      </c>
      <c r="I795" s="467">
        <v>0</v>
      </c>
      <c r="J795" s="468">
        <v>11.414</v>
      </c>
    </row>
    <row r="796" spans="1:10" ht="12.75" outlineLevel="2">
      <c r="A796" s="645">
        <v>2141118106</v>
      </c>
      <c r="B796" s="635" t="s">
        <v>870</v>
      </c>
      <c r="C796" s="635" t="s">
        <v>2438</v>
      </c>
      <c r="D796" s="635"/>
      <c r="E796" s="635" t="s">
        <v>1494</v>
      </c>
      <c r="F796" s="465" t="s">
        <v>473</v>
      </c>
      <c r="G796" s="466">
        <v>0</v>
      </c>
      <c r="H796" s="466">
        <v>20.125</v>
      </c>
      <c r="I796" s="467">
        <v>0</v>
      </c>
      <c r="J796" s="468">
        <v>20.125</v>
      </c>
    </row>
    <row r="797" spans="1:10" ht="12.75" outlineLevel="2">
      <c r="A797" s="645">
        <v>2141118106</v>
      </c>
      <c r="B797" s="635" t="s">
        <v>870</v>
      </c>
      <c r="C797" s="635" t="s">
        <v>2438</v>
      </c>
      <c r="D797" s="635"/>
      <c r="E797" s="635" t="s">
        <v>1494</v>
      </c>
      <c r="F797" s="465" t="s">
        <v>96</v>
      </c>
      <c r="G797" s="466">
        <v>0</v>
      </c>
      <c r="H797" s="466">
        <v>18.753</v>
      </c>
      <c r="I797" s="467">
        <v>0</v>
      </c>
      <c r="J797" s="468">
        <v>18.753</v>
      </c>
    </row>
    <row r="798" spans="1:10" ht="12.75" outlineLevel="2">
      <c r="A798" s="645">
        <v>2141118106</v>
      </c>
      <c r="B798" s="635" t="s">
        <v>870</v>
      </c>
      <c r="C798" s="635" t="s">
        <v>2438</v>
      </c>
      <c r="D798" s="635"/>
      <c r="E798" s="635" t="s">
        <v>1494</v>
      </c>
      <c r="F798" s="465" t="s">
        <v>118</v>
      </c>
      <c r="G798" s="466">
        <v>0</v>
      </c>
      <c r="H798" s="466">
        <v>32.879</v>
      </c>
      <c r="I798" s="467">
        <v>0</v>
      </c>
      <c r="J798" s="468">
        <v>32.879</v>
      </c>
    </row>
    <row r="799" spans="1:10" ht="12.75" outlineLevel="2">
      <c r="A799" s="645">
        <v>2141118107</v>
      </c>
      <c r="B799" s="635" t="s">
        <v>871</v>
      </c>
      <c r="C799" s="635" t="s">
        <v>1774</v>
      </c>
      <c r="D799" s="635"/>
      <c r="E799" s="635" t="s">
        <v>1494</v>
      </c>
      <c r="F799" s="465" t="s">
        <v>1845</v>
      </c>
      <c r="G799" s="466">
        <v>0</v>
      </c>
      <c r="H799" s="466">
        <v>36.9</v>
      </c>
      <c r="I799" s="467">
        <v>36.9</v>
      </c>
      <c r="J799" s="468">
        <v>0</v>
      </c>
    </row>
    <row r="800" spans="1:10" ht="12.75" outlineLevel="2">
      <c r="A800" s="645">
        <v>2141118108</v>
      </c>
      <c r="B800" s="635" t="s">
        <v>872</v>
      </c>
      <c r="C800" s="635" t="s">
        <v>1425</v>
      </c>
      <c r="D800" s="635"/>
      <c r="E800" s="635" t="s">
        <v>1494</v>
      </c>
      <c r="F800" s="465" t="s">
        <v>1845</v>
      </c>
      <c r="G800" s="466">
        <v>0</v>
      </c>
      <c r="H800" s="466">
        <v>4.599</v>
      </c>
      <c r="I800" s="467">
        <v>4.598</v>
      </c>
      <c r="J800" s="468">
        <v>0.001</v>
      </c>
    </row>
    <row r="801" spans="1:10" ht="12.75" outlineLevel="2">
      <c r="A801" s="645">
        <v>2141118109</v>
      </c>
      <c r="B801" s="635" t="s">
        <v>873</v>
      </c>
      <c r="C801" s="635" t="s">
        <v>1423</v>
      </c>
      <c r="D801" s="635"/>
      <c r="E801" s="635" t="s">
        <v>1494</v>
      </c>
      <c r="F801" s="465" t="s">
        <v>96</v>
      </c>
      <c r="G801" s="466">
        <v>0</v>
      </c>
      <c r="H801" s="466">
        <v>0.14</v>
      </c>
      <c r="I801" s="467">
        <v>0.139</v>
      </c>
      <c r="J801" s="468">
        <v>0.001</v>
      </c>
    </row>
    <row r="802" spans="1:10" ht="12.75" outlineLevel="2">
      <c r="A802" s="645">
        <v>2141118110</v>
      </c>
      <c r="B802" s="635" t="s">
        <v>874</v>
      </c>
      <c r="C802" s="635" t="s">
        <v>1420</v>
      </c>
      <c r="D802" s="635"/>
      <c r="E802" s="635" t="s">
        <v>1494</v>
      </c>
      <c r="F802" s="465" t="s">
        <v>1845</v>
      </c>
      <c r="G802" s="466">
        <v>0</v>
      </c>
      <c r="H802" s="466">
        <v>0.583</v>
      </c>
      <c r="I802" s="467">
        <v>0.583</v>
      </c>
      <c r="J802" s="468">
        <v>0</v>
      </c>
    </row>
    <row r="803" spans="1:10" ht="12.75" outlineLevel="2">
      <c r="A803" s="645">
        <v>2141118110</v>
      </c>
      <c r="B803" s="635" t="s">
        <v>874</v>
      </c>
      <c r="C803" s="635" t="s">
        <v>1420</v>
      </c>
      <c r="D803" s="635"/>
      <c r="E803" s="635" t="s">
        <v>1494</v>
      </c>
      <c r="F803" s="465" t="s">
        <v>96</v>
      </c>
      <c r="G803" s="466">
        <v>0</v>
      </c>
      <c r="H803" s="466">
        <v>5.3</v>
      </c>
      <c r="I803" s="467">
        <v>5.3</v>
      </c>
      <c r="J803" s="468">
        <v>0</v>
      </c>
    </row>
    <row r="804" spans="1:10" ht="12.75" outlineLevel="2">
      <c r="A804" s="645">
        <v>2141118111</v>
      </c>
      <c r="B804" s="635" t="s">
        <v>875</v>
      </c>
      <c r="C804" s="635" t="s">
        <v>1420</v>
      </c>
      <c r="D804" s="635"/>
      <c r="E804" s="635" t="s">
        <v>1494</v>
      </c>
      <c r="F804" s="465" t="s">
        <v>96</v>
      </c>
      <c r="G804" s="466">
        <v>0</v>
      </c>
      <c r="H804" s="466">
        <v>1.543</v>
      </c>
      <c r="I804" s="467">
        <v>1.542</v>
      </c>
      <c r="J804" s="468">
        <v>0.001</v>
      </c>
    </row>
    <row r="805" spans="1:10" ht="12.75" outlineLevel="2">
      <c r="A805" s="645">
        <v>2141118112</v>
      </c>
      <c r="B805" s="635" t="s">
        <v>876</v>
      </c>
      <c r="C805" s="635" t="s">
        <v>2438</v>
      </c>
      <c r="D805" s="635"/>
      <c r="E805" s="635" t="s">
        <v>1494</v>
      </c>
      <c r="F805" s="465" t="s">
        <v>1845</v>
      </c>
      <c r="G805" s="466">
        <v>0</v>
      </c>
      <c r="H805" s="466">
        <v>6.2</v>
      </c>
      <c r="I805" s="467">
        <v>6.063</v>
      </c>
      <c r="J805" s="468">
        <v>0.137</v>
      </c>
    </row>
    <row r="806" spans="1:10" ht="12.75" outlineLevel="2">
      <c r="A806" s="645">
        <v>2141118113</v>
      </c>
      <c r="B806" s="635" t="s">
        <v>877</v>
      </c>
      <c r="C806" s="635" t="s">
        <v>791</v>
      </c>
      <c r="D806" s="635"/>
      <c r="E806" s="635" t="s">
        <v>1494</v>
      </c>
      <c r="F806" s="465" t="s">
        <v>473</v>
      </c>
      <c r="G806" s="466">
        <v>0</v>
      </c>
      <c r="H806" s="466">
        <v>0.374</v>
      </c>
      <c r="I806" s="467">
        <v>0.354</v>
      </c>
      <c r="J806" s="468">
        <v>0.02</v>
      </c>
    </row>
    <row r="807" spans="1:10" ht="12.75" outlineLevel="2">
      <c r="A807" s="645">
        <v>2141118113</v>
      </c>
      <c r="B807" s="635" t="s">
        <v>877</v>
      </c>
      <c r="C807" s="635" t="s">
        <v>791</v>
      </c>
      <c r="D807" s="635"/>
      <c r="E807" s="635" t="s">
        <v>1494</v>
      </c>
      <c r="F807" s="465" t="s">
        <v>2474</v>
      </c>
      <c r="G807" s="466">
        <v>0</v>
      </c>
      <c r="H807" s="466">
        <v>0</v>
      </c>
      <c r="I807" s="467">
        <v>0.53</v>
      </c>
      <c r="J807" s="468">
        <v>0</v>
      </c>
    </row>
    <row r="808" spans="1:10" ht="12.75" outlineLevel="2">
      <c r="A808" s="645">
        <v>2141118114</v>
      </c>
      <c r="B808" s="635" t="s">
        <v>878</v>
      </c>
      <c r="C808" s="635" t="s">
        <v>1423</v>
      </c>
      <c r="D808" s="635"/>
      <c r="E808" s="635" t="s">
        <v>1494</v>
      </c>
      <c r="F808" s="465" t="s">
        <v>1845</v>
      </c>
      <c r="G808" s="466">
        <v>0</v>
      </c>
      <c r="H808" s="466">
        <v>2.973</v>
      </c>
      <c r="I808" s="467">
        <v>2.972</v>
      </c>
      <c r="J808" s="468">
        <v>0.001</v>
      </c>
    </row>
    <row r="809" spans="1:10" ht="12.75" outlineLevel="2">
      <c r="A809" s="645">
        <v>2141118114</v>
      </c>
      <c r="B809" s="635" t="s">
        <v>878</v>
      </c>
      <c r="C809" s="635" t="s">
        <v>1423</v>
      </c>
      <c r="D809" s="635"/>
      <c r="E809" s="635" t="s">
        <v>1494</v>
      </c>
      <c r="F809" s="465" t="s">
        <v>96</v>
      </c>
      <c r="G809" s="466">
        <v>0</v>
      </c>
      <c r="H809" s="466">
        <v>4.283</v>
      </c>
      <c r="I809" s="467">
        <v>4.283</v>
      </c>
      <c r="J809" s="468">
        <v>0</v>
      </c>
    </row>
    <row r="810" spans="1:10" ht="12.75" outlineLevel="2">
      <c r="A810" s="645">
        <v>2141118115</v>
      </c>
      <c r="B810" s="635" t="s">
        <v>879</v>
      </c>
      <c r="C810" s="635" t="s">
        <v>1422</v>
      </c>
      <c r="D810" s="635"/>
      <c r="E810" s="635" t="s">
        <v>1494</v>
      </c>
      <c r="F810" s="465" t="s">
        <v>1845</v>
      </c>
      <c r="G810" s="466">
        <v>0</v>
      </c>
      <c r="H810" s="466">
        <v>2.38</v>
      </c>
      <c r="I810" s="467">
        <v>2.38</v>
      </c>
      <c r="J810" s="468">
        <v>0</v>
      </c>
    </row>
    <row r="811" spans="1:10" ht="12.75" outlineLevel="2">
      <c r="A811" s="645">
        <v>2141118116</v>
      </c>
      <c r="B811" s="635" t="s">
        <v>880</v>
      </c>
      <c r="C811" s="635" t="s">
        <v>2438</v>
      </c>
      <c r="D811" s="635"/>
      <c r="E811" s="635" t="s">
        <v>1494</v>
      </c>
      <c r="F811" s="465" t="s">
        <v>96</v>
      </c>
      <c r="G811" s="466">
        <v>0</v>
      </c>
      <c r="H811" s="466">
        <v>1.825</v>
      </c>
      <c r="I811" s="467">
        <v>1.82</v>
      </c>
      <c r="J811" s="468">
        <v>0.005</v>
      </c>
    </row>
    <row r="812" spans="1:10" ht="12.75" outlineLevel="2">
      <c r="A812" s="645">
        <v>2141118117</v>
      </c>
      <c r="B812" s="635" t="s">
        <v>881</v>
      </c>
      <c r="C812" s="635" t="s">
        <v>1425</v>
      </c>
      <c r="D812" s="635"/>
      <c r="E812" s="635" t="s">
        <v>1494</v>
      </c>
      <c r="F812" s="465" t="s">
        <v>1845</v>
      </c>
      <c r="G812" s="466">
        <v>0</v>
      </c>
      <c r="H812" s="466">
        <v>2.537</v>
      </c>
      <c r="I812" s="467">
        <v>2.536</v>
      </c>
      <c r="J812" s="468">
        <v>0.001</v>
      </c>
    </row>
    <row r="813" spans="1:10" ht="12.75" outlineLevel="2">
      <c r="A813" s="645">
        <v>2141118117</v>
      </c>
      <c r="B813" s="635" t="s">
        <v>881</v>
      </c>
      <c r="C813" s="635" t="s">
        <v>1425</v>
      </c>
      <c r="D813" s="635"/>
      <c r="E813" s="635" t="s">
        <v>1494</v>
      </c>
      <c r="F813" s="465" t="s">
        <v>96</v>
      </c>
      <c r="G813" s="466">
        <v>0</v>
      </c>
      <c r="H813" s="466">
        <v>0.502</v>
      </c>
      <c r="I813" s="467">
        <v>0.501</v>
      </c>
      <c r="J813" s="468">
        <v>0.001</v>
      </c>
    </row>
    <row r="814" spans="1:10" ht="12.75" outlineLevel="2">
      <c r="A814" s="645">
        <v>2141118118</v>
      </c>
      <c r="B814" s="635" t="s">
        <v>882</v>
      </c>
      <c r="C814" s="635" t="s">
        <v>1426</v>
      </c>
      <c r="D814" s="635"/>
      <c r="E814" s="635" t="s">
        <v>1494</v>
      </c>
      <c r="F814" s="465" t="s">
        <v>1845</v>
      </c>
      <c r="G814" s="466">
        <v>0</v>
      </c>
      <c r="H814" s="466">
        <v>2.302</v>
      </c>
      <c r="I814" s="467">
        <v>2.302</v>
      </c>
      <c r="J814" s="468">
        <v>0</v>
      </c>
    </row>
    <row r="815" spans="1:10" ht="12.75" outlineLevel="2">
      <c r="A815" s="645">
        <v>2141118119</v>
      </c>
      <c r="B815" s="635" t="s">
        <v>883</v>
      </c>
      <c r="C815" s="635" t="s">
        <v>1424</v>
      </c>
      <c r="D815" s="635"/>
      <c r="E815" s="635" t="s">
        <v>1494</v>
      </c>
      <c r="F815" s="465" t="s">
        <v>1845</v>
      </c>
      <c r="G815" s="466">
        <v>0</v>
      </c>
      <c r="H815" s="466">
        <v>1.262</v>
      </c>
      <c r="I815" s="467">
        <v>1.261</v>
      </c>
      <c r="J815" s="468">
        <v>0.001</v>
      </c>
    </row>
    <row r="816" spans="1:10" ht="12.75" outlineLevel="2">
      <c r="A816" s="645">
        <v>2141118120</v>
      </c>
      <c r="B816" s="635" t="s">
        <v>884</v>
      </c>
      <c r="C816" s="635" t="s">
        <v>1422</v>
      </c>
      <c r="D816" s="635"/>
      <c r="E816" s="635" t="s">
        <v>1494</v>
      </c>
      <c r="F816" s="465" t="s">
        <v>1845</v>
      </c>
      <c r="G816" s="466">
        <v>0</v>
      </c>
      <c r="H816" s="466">
        <v>3.927</v>
      </c>
      <c r="I816" s="467">
        <v>3.926</v>
      </c>
      <c r="J816" s="468">
        <v>0.001</v>
      </c>
    </row>
    <row r="817" spans="1:10" ht="12.75" outlineLevel="2">
      <c r="A817" s="645">
        <v>2141118121</v>
      </c>
      <c r="B817" s="635" t="s">
        <v>885</v>
      </c>
      <c r="C817" s="635" t="s">
        <v>1424</v>
      </c>
      <c r="D817" s="635"/>
      <c r="E817" s="635" t="s">
        <v>1494</v>
      </c>
      <c r="F817" s="465" t="s">
        <v>473</v>
      </c>
      <c r="G817" s="466">
        <v>0</v>
      </c>
      <c r="H817" s="466">
        <v>2.312</v>
      </c>
      <c r="I817" s="467">
        <v>2.312</v>
      </c>
      <c r="J817" s="468">
        <v>0</v>
      </c>
    </row>
    <row r="818" spans="1:10" ht="12.75" outlineLevel="2">
      <c r="A818" s="645">
        <v>2141118122</v>
      </c>
      <c r="B818" s="635" t="s">
        <v>886</v>
      </c>
      <c r="C818" s="635" t="s">
        <v>1424</v>
      </c>
      <c r="D818" s="635"/>
      <c r="E818" s="635" t="s">
        <v>1494</v>
      </c>
      <c r="F818" s="465" t="s">
        <v>1845</v>
      </c>
      <c r="G818" s="466">
        <v>0</v>
      </c>
      <c r="H818" s="466">
        <v>4.751</v>
      </c>
      <c r="I818" s="467">
        <v>4.742</v>
      </c>
      <c r="J818" s="468">
        <v>0.009</v>
      </c>
    </row>
    <row r="819" spans="1:10" ht="12.75" outlineLevel="2">
      <c r="A819" s="645">
        <v>2141118122</v>
      </c>
      <c r="B819" s="635" t="s">
        <v>886</v>
      </c>
      <c r="C819" s="635" t="s">
        <v>1424</v>
      </c>
      <c r="D819" s="635"/>
      <c r="E819" s="635" t="s">
        <v>1494</v>
      </c>
      <c r="F819" s="465" t="s">
        <v>96</v>
      </c>
      <c r="G819" s="466">
        <v>0</v>
      </c>
      <c r="H819" s="466">
        <v>0.529</v>
      </c>
      <c r="I819" s="467">
        <v>0.528</v>
      </c>
      <c r="J819" s="468">
        <v>0.001</v>
      </c>
    </row>
    <row r="820" spans="1:10" ht="12.75" outlineLevel="2">
      <c r="A820" s="645">
        <v>2141118123</v>
      </c>
      <c r="B820" s="635" t="s">
        <v>887</v>
      </c>
      <c r="C820" s="635" t="s">
        <v>2438</v>
      </c>
      <c r="D820" s="635"/>
      <c r="E820" s="635" t="s">
        <v>1494</v>
      </c>
      <c r="F820" s="465" t="s">
        <v>1845</v>
      </c>
      <c r="G820" s="466">
        <v>0</v>
      </c>
      <c r="H820" s="466">
        <v>0.669</v>
      </c>
      <c r="I820" s="467">
        <v>0.668</v>
      </c>
      <c r="J820" s="468">
        <v>0.001</v>
      </c>
    </row>
    <row r="821" spans="1:10" ht="12.75" outlineLevel="2">
      <c r="A821" s="645">
        <v>2141118123</v>
      </c>
      <c r="B821" s="635" t="s">
        <v>887</v>
      </c>
      <c r="C821" s="635" t="s">
        <v>2438</v>
      </c>
      <c r="D821" s="635"/>
      <c r="E821" s="635" t="s">
        <v>1494</v>
      </c>
      <c r="F821" s="465" t="s">
        <v>96</v>
      </c>
      <c r="G821" s="466">
        <v>0</v>
      </c>
      <c r="H821" s="466">
        <v>5.345</v>
      </c>
      <c r="I821" s="467">
        <v>5.345</v>
      </c>
      <c r="J821" s="468">
        <v>0</v>
      </c>
    </row>
    <row r="822" spans="1:10" ht="12.75" outlineLevel="2">
      <c r="A822" s="645">
        <v>2141118124</v>
      </c>
      <c r="B822" s="635" t="s">
        <v>888</v>
      </c>
      <c r="C822" s="635" t="s">
        <v>1774</v>
      </c>
      <c r="D822" s="635"/>
      <c r="E822" s="635" t="s">
        <v>1494</v>
      </c>
      <c r="F822" s="465" t="s">
        <v>333</v>
      </c>
      <c r="G822" s="466">
        <v>0</v>
      </c>
      <c r="H822" s="466">
        <v>0</v>
      </c>
      <c r="I822" s="467">
        <v>0.275</v>
      </c>
      <c r="J822" s="468">
        <v>0</v>
      </c>
    </row>
    <row r="823" spans="1:10" ht="12.75" outlineLevel="2">
      <c r="A823" s="645">
        <v>2141118125</v>
      </c>
      <c r="B823" s="635" t="s">
        <v>889</v>
      </c>
      <c r="C823" s="635" t="s">
        <v>1424</v>
      </c>
      <c r="D823" s="635"/>
      <c r="E823" s="635" t="s">
        <v>1494</v>
      </c>
      <c r="F823" s="465" t="s">
        <v>1845</v>
      </c>
      <c r="G823" s="466">
        <v>0</v>
      </c>
      <c r="H823" s="466">
        <v>1.5</v>
      </c>
      <c r="I823" s="467">
        <v>1.499</v>
      </c>
      <c r="J823" s="468">
        <v>0.001</v>
      </c>
    </row>
    <row r="824" spans="1:10" ht="12.75" outlineLevel="2">
      <c r="A824" s="645">
        <v>2141118126</v>
      </c>
      <c r="B824" s="635" t="s">
        <v>331</v>
      </c>
      <c r="C824" s="635" t="s">
        <v>1774</v>
      </c>
      <c r="D824" s="635"/>
      <c r="E824" s="635" t="s">
        <v>1494</v>
      </c>
      <c r="F824" s="465" t="s">
        <v>332</v>
      </c>
      <c r="G824" s="466">
        <v>0</v>
      </c>
      <c r="H824" s="466">
        <v>0</v>
      </c>
      <c r="I824" s="467">
        <v>16.059</v>
      </c>
      <c r="J824" s="468">
        <v>0</v>
      </c>
    </row>
    <row r="825" spans="1:10" ht="12.75" outlineLevel="2">
      <c r="A825" s="645">
        <v>2141118128</v>
      </c>
      <c r="B825" s="635" t="s">
        <v>890</v>
      </c>
      <c r="C825" s="635" t="s">
        <v>1422</v>
      </c>
      <c r="D825" s="635"/>
      <c r="E825" s="635" t="s">
        <v>1494</v>
      </c>
      <c r="F825" s="465" t="s">
        <v>1845</v>
      </c>
      <c r="G825" s="466">
        <v>0</v>
      </c>
      <c r="H825" s="466">
        <v>2.134</v>
      </c>
      <c r="I825" s="467">
        <v>2.133</v>
      </c>
      <c r="J825" s="468">
        <v>0.001</v>
      </c>
    </row>
    <row r="826" spans="1:10" ht="12.75" outlineLevel="2">
      <c r="A826" s="645">
        <v>2141118129</v>
      </c>
      <c r="B826" s="635" t="s">
        <v>891</v>
      </c>
      <c r="C826" s="635" t="s">
        <v>1774</v>
      </c>
      <c r="D826" s="635"/>
      <c r="E826" s="635" t="s">
        <v>1494</v>
      </c>
      <c r="F826" s="465" t="s">
        <v>1845</v>
      </c>
      <c r="G826" s="466">
        <v>0</v>
      </c>
      <c r="H826" s="466">
        <v>9.797</v>
      </c>
      <c r="I826" s="467">
        <v>9.796</v>
      </c>
      <c r="J826" s="468">
        <v>0.001</v>
      </c>
    </row>
    <row r="827" spans="1:10" ht="12.75" outlineLevel="2">
      <c r="A827" s="645">
        <v>2141118129</v>
      </c>
      <c r="B827" s="635" t="s">
        <v>891</v>
      </c>
      <c r="C827" s="635" t="s">
        <v>1774</v>
      </c>
      <c r="D827" s="635"/>
      <c r="E827" s="635" t="s">
        <v>1494</v>
      </c>
      <c r="F827" s="465" t="s">
        <v>332</v>
      </c>
      <c r="G827" s="466">
        <v>0</v>
      </c>
      <c r="H827" s="466">
        <v>0</v>
      </c>
      <c r="I827" s="467">
        <v>13.666</v>
      </c>
      <c r="J827" s="468">
        <v>0</v>
      </c>
    </row>
    <row r="828" spans="1:10" ht="12.75" outlineLevel="2">
      <c r="A828" s="645">
        <v>2141118129</v>
      </c>
      <c r="B828" s="635" t="s">
        <v>891</v>
      </c>
      <c r="C828" s="635" t="s">
        <v>1774</v>
      </c>
      <c r="D828" s="635"/>
      <c r="E828" s="635" t="s">
        <v>1494</v>
      </c>
      <c r="F828" s="465" t="s">
        <v>333</v>
      </c>
      <c r="G828" s="466">
        <v>0</v>
      </c>
      <c r="H828" s="466">
        <v>0</v>
      </c>
      <c r="I828" s="467">
        <v>0.18</v>
      </c>
      <c r="J828" s="468">
        <v>0</v>
      </c>
    </row>
    <row r="829" spans="1:10" ht="12.75" outlineLevel="2">
      <c r="A829" s="645">
        <v>2141118130</v>
      </c>
      <c r="B829" s="635" t="s">
        <v>26</v>
      </c>
      <c r="C829" s="635" t="s">
        <v>1774</v>
      </c>
      <c r="D829" s="635"/>
      <c r="E829" s="635" t="s">
        <v>1494</v>
      </c>
      <c r="F829" s="465" t="s">
        <v>1845</v>
      </c>
      <c r="G829" s="466">
        <v>0</v>
      </c>
      <c r="H829" s="466">
        <v>14.178</v>
      </c>
      <c r="I829" s="467">
        <v>14.178</v>
      </c>
      <c r="J829" s="468">
        <v>0</v>
      </c>
    </row>
    <row r="830" spans="1:10" ht="12.75" outlineLevel="2">
      <c r="A830" s="645">
        <v>2141118131</v>
      </c>
      <c r="B830" s="635" t="s">
        <v>27</v>
      </c>
      <c r="C830" s="635" t="s">
        <v>1774</v>
      </c>
      <c r="D830" s="635"/>
      <c r="E830" s="635" t="s">
        <v>1494</v>
      </c>
      <c r="F830" s="465" t="s">
        <v>1845</v>
      </c>
      <c r="G830" s="466">
        <v>0</v>
      </c>
      <c r="H830" s="466">
        <v>19.49</v>
      </c>
      <c r="I830" s="467">
        <v>19.489</v>
      </c>
      <c r="J830" s="468">
        <v>0.001</v>
      </c>
    </row>
    <row r="831" spans="1:10" ht="12.75" outlineLevel="2">
      <c r="A831" s="645">
        <v>2141118132</v>
      </c>
      <c r="B831" s="635" t="s">
        <v>28</v>
      </c>
      <c r="C831" s="635" t="s">
        <v>1774</v>
      </c>
      <c r="D831" s="635"/>
      <c r="E831" s="635" t="s">
        <v>1494</v>
      </c>
      <c r="F831" s="465" t="s">
        <v>1845</v>
      </c>
      <c r="G831" s="466">
        <v>0</v>
      </c>
      <c r="H831" s="466">
        <v>19.461</v>
      </c>
      <c r="I831" s="467">
        <v>19.461</v>
      </c>
      <c r="J831" s="468">
        <v>0</v>
      </c>
    </row>
    <row r="832" spans="1:10" ht="12.75" outlineLevel="2">
      <c r="A832" s="645">
        <v>2141118133</v>
      </c>
      <c r="B832" s="635" t="s">
        <v>29</v>
      </c>
      <c r="C832" s="635" t="s">
        <v>1774</v>
      </c>
      <c r="D832" s="635"/>
      <c r="E832" s="635" t="s">
        <v>1494</v>
      </c>
      <c r="F832" s="465" t="s">
        <v>1845</v>
      </c>
      <c r="G832" s="466">
        <v>0</v>
      </c>
      <c r="H832" s="466">
        <v>16.728</v>
      </c>
      <c r="I832" s="467">
        <v>16.727</v>
      </c>
      <c r="J832" s="468">
        <v>0.001</v>
      </c>
    </row>
    <row r="833" spans="1:10" ht="12.75" outlineLevel="2">
      <c r="A833" s="645">
        <v>2141120034</v>
      </c>
      <c r="B833" s="635" t="s">
        <v>30</v>
      </c>
      <c r="C833" s="635" t="s">
        <v>1423</v>
      </c>
      <c r="D833" s="635"/>
      <c r="E833" s="635" t="s">
        <v>1494</v>
      </c>
      <c r="F833" s="465" t="s">
        <v>96</v>
      </c>
      <c r="G833" s="466">
        <v>14.61</v>
      </c>
      <c r="H833" s="466">
        <v>20.714</v>
      </c>
      <c r="I833" s="467">
        <v>20.713</v>
      </c>
      <c r="J833" s="468">
        <v>0</v>
      </c>
    </row>
    <row r="834" spans="1:10" ht="12.75" outlineLevel="2">
      <c r="A834" s="645">
        <v>2141120098</v>
      </c>
      <c r="B834" s="635" t="s">
        <v>31</v>
      </c>
      <c r="C834" s="635" t="s">
        <v>1422</v>
      </c>
      <c r="D834" s="635"/>
      <c r="E834" s="635" t="s">
        <v>1494</v>
      </c>
      <c r="F834" s="465" t="s">
        <v>96</v>
      </c>
      <c r="G834" s="466">
        <v>19.678</v>
      </c>
      <c r="H834" s="466">
        <v>0.228</v>
      </c>
      <c r="I834" s="467">
        <v>0.228</v>
      </c>
      <c r="J834" s="468">
        <v>0</v>
      </c>
    </row>
    <row r="835" spans="1:10" ht="12.75" outlineLevel="2">
      <c r="A835" s="645">
        <v>2141120098</v>
      </c>
      <c r="B835" s="635" t="s">
        <v>31</v>
      </c>
      <c r="C835" s="635" t="s">
        <v>1422</v>
      </c>
      <c r="D835" s="635"/>
      <c r="E835" s="635" t="s">
        <v>1494</v>
      </c>
      <c r="F835" s="465" t="s">
        <v>333</v>
      </c>
      <c r="G835" s="466">
        <v>0</v>
      </c>
      <c r="H835" s="466">
        <v>0</v>
      </c>
      <c r="I835" s="467">
        <v>7.385</v>
      </c>
      <c r="J835" s="468">
        <v>0</v>
      </c>
    </row>
    <row r="836" spans="1:10" ht="12.75" outlineLevel="2">
      <c r="A836" s="645">
        <v>2141120116</v>
      </c>
      <c r="B836" s="635" t="s">
        <v>32</v>
      </c>
      <c r="C836" s="635" t="s">
        <v>791</v>
      </c>
      <c r="D836" s="635"/>
      <c r="E836" s="635" t="s">
        <v>1494</v>
      </c>
      <c r="F836" s="465" t="s">
        <v>96</v>
      </c>
      <c r="G836" s="466">
        <v>33.437</v>
      </c>
      <c r="H836" s="466">
        <v>34.277</v>
      </c>
      <c r="I836" s="467">
        <v>34.277</v>
      </c>
      <c r="J836" s="468">
        <v>0</v>
      </c>
    </row>
    <row r="837" spans="1:10" ht="12.75" outlineLevel="2">
      <c r="A837" s="645">
        <v>2141120145</v>
      </c>
      <c r="B837" s="635" t="s">
        <v>33</v>
      </c>
      <c r="C837" s="635" t="s">
        <v>791</v>
      </c>
      <c r="D837" s="635"/>
      <c r="E837" s="635" t="s">
        <v>1494</v>
      </c>
      <c r="F837" s="465" t="s">
        <v>333</v>
      </c>
      <c r="G837" s="466">
        <v>0</v>
      </c>
      <c r="H837" s="466">
        <v>0</v>
      </c>
      <c r="I837" s="467">
        <v>11.71</v>
      </c>
      <c r="J837" s="468">
        <v>0</v>
      </c>
    </row>
    <row r="838" spans="1:10" ht="12.75" outlineLevel="2">
      <c r="A838" s="645">
        <v>2141124024</v>
      </c>
      <c r="B838" s="635" t="s">
        <v>34</v>
      </c>
      <c r="C838" s="635" t="s">
        <v>1427</v>
      </c>
      <c r="D838" s="635"/>
      <c r="E838" s="635" t="s">
        <v>1494</v>
      </c>
      <c r="F838" s="465" t="s">
        <v>96</v>
      </c>
      <c r="G838" s="466">
        <v>3.145</v>
      </c>
      <c r="H838" s="466">
        <v>8.455</v>
      </c>
      <c r="I838" s="467">
        <v>8.454</v>
      </c>
      <c r="J838" s="468">
        <v>0</v>
      </c>
    </row>
    <row r="839" spans="1:10" ht="12.75" outlineLevel="2">
      <c r="A839" s="645">
        <v>2141124024</v>
      </c>
      <c r="B839" s="635" t="s">
        <v>34</v>
      </c>
      <c r="C839" s="635" t="s">
        <v>1427</v>
      </c>
      <c r="D839" s="635"/>
      <c r="E839" s="635" t="s">
        <v>1494</v>
      </c>
      <c r="F839" s="465" t="s">
        <v>333</v>
      </c>
      <c r="G839" s="466">
        <v>0</v>
      </c>
      <c r="H839" s="466">
        <v>0</v>
      </c>
      <c r="I839" s="467">
        <v>0.954</v>
      </c>
      <c r="J839" s="468">
        <v>0</v>
      </c>
    </row>
    <row r="840" spans="1:10" ht="12.75" outlineLevel="2">
      <c r="A840" s="645">
        <v>2141125063</v>
      </c>
      <c r="B840" s="635" t="s">
        <v>35</v>
      </c>
      <c r="C840" s="635" t="s">
        <v>1422</v>
      </c>
      <c r="D840" s="635"/>
      <c r="E840" s="635" t="s">
        <v>1494</v>
      </c>
      <c r="F840" s="465" t="s">
        <v>96</v>
      </c>
      <c r="G840" s="466">
        <v>16.038</v>
      </c>
      <c r="H840" s="466">
        <v>16.183</v>
      </c>
      <c r="I840" s="467">
        <v>16.182</v>
      </c>
      <c r="J840" s="468">
        <v>0</v>
      </c>
    </row>
    <row r="841" spans="1:10" ht="12.75" outlineLevel="2">
      <c r="A841" s="645">
        <v>2141125063</v>
      </c>
      <c r="B841" s="635" t="s">
        <v>35</v>
      </c>
      <c r="C841" s="635" t="s">
        <v>1422</v>
      </c>
      <c r="D841" s="635"/>
      <c r="E841" s="635" t="s">
        <v>1494</v>
      </c>
      <c r="F841" s="465" t="s">
        <v>333</v>
      </c>
      <c r="G841" s="466">
        <v>0</v>
      </c>
      <c r="H841" s="466">
        <v>0</v>
      </c>
      <c r="I841" s="467">
        <v>15.973</v>
      </c>
      <c r="J841" s="468">
        <v>0</v>
      </c>
    </row>
    <row r="842" spans="1:10" ht="12.75" outlineLevel="2">
      <c r="A842" s="645">
        <v>2141126011</v>
      </c>
      <c r="B842" s="635" t="s">
        <v>36</v>
      </c>
      <c r="C842" s="635" t="s">
        <v>1425</v>
      </c>
      <c r="D842" s="635"/>
      <c r="E842" s="635" t="s">
        <v>1494</v>
      </c>
      <c r="F842" s="465" t="s">
        <v>96</v>
      </c>
      <c r="G842" s="466">
        <v>13.051</v>
      </c>
      <c r="H842" s="466">
        <v>0</v>
      </c>
      <c r="I842" s="467">
        <v>0</v>
      </c>
      <c r="J842" s="468">
        <v>0</v>
      </c>
    </row>
    <row r="843" spans="1:10" ht="12.75" outlineLevel="2">
      <c r="A843" s="645">
        <v>2141126046</v>
      </c>
      <c r="B843" s="635" t="s">
        <v>37</v>
      </c>
      <c r="C843" s="635" t="s">
        <v>1426</v>
      </c>
      <c r="D843" s="635"/>
      <c r="E843" s="635" t="s">
        <v>1494</v>
      </c>
      <c r="F843" s="465" t="s">
        <v>96</v>
      </c>
      <c r="G843" s="466">
        <v>0</v>
      </c>
      <c r="H843" s="466">
        <v>0.761</v>
      </c>
      <c r="I843" s="467">
        <v>0.761</v>
      </c>
      <c r="J843" s="468">
        <v>0</v>
      </c>
    </row>
    <row r="844" spans="1:10" ht="12.75" outlineLevel="2">
      <c r="A844" s="645">
        <v>2141126080</v>
      </c>
      <c r="B844" s="635" t="s">
        <v>38</v>
      </c>
      <c r="C844" s="635" t="s">
        <v>1422</v>
      </c>
      <c r="D844" s="635"/>
      <c r="E844" s="635" t="s">
        <v>1494</v>
      </c>
      <c r="F844" s="465" t="s">
        <v>473</v>
      </c>
      <c r="G844" s="466">
        <v>0</v>
      </c>
      <c r="H844" s="466">
        <v>0.055</v>
      </c>
      <c r="I844" s="467">
        <v>0.054</v>
      </c>
      <c r="J844" s="468">
        <v>0</v>
      </c>
    </row>
    <row r="845" spans="1:10" ht="12.75" outlineLevel="2">
      <c r="A845" s="645">
        <v>2141126080</v>
      </c>
      <c r="B845" s="635" t="s">
        <v>38</v>
      </c>
      <c r="C845" s="635" t="s">
        <v>1422</v>
      </c>
      <c r="D845" s="635"/>
      <c r="E845" s="635" t="s">
        <v>1494</v>
      </c>
      <c r="F845" s="465" t="s">
        <v>2474</v>
      </c>
      <c r="G845" s="466">
        <v>0</v>
      </c>
      <c r="H845" s="466">
        <v>0</v>
      </c>
      <c r="I845" s="467">
        <v>0.411</v>
      </c>
      <c r="J845" s="468">
        <v>0</v>
      </c>
    </row>
    <row r="846" spans="1:10" ht="12.75" outlineLevel="2">
      <c r="A846" s="645">
        <v>2141126080</v>
      </c>
      <c r="B846" s="635" t="s">
        <v>38</v>
      </c>
      <c r="C846" s="635" t="s">
        <v>1422</v>
      </c>
      <c r="D846" s="635"/>
      <c r="E846" s="635" t="s">
        <v>1494</v>
      </c>
      <c r="F846" s="465" t="s">
        <v>118</v>
      </c>
      <c r="G846" s="466">
        <v>0</v>
      </c>
      <c r="H846" s="466">
        <v>4.422</v>
      </c>
      <c r="I846" s="467">
        <v>4.421</v>
      </c>
      <c r="J846" s="468">
        <v>0</v>
      </c>
    </row>
    <row r="847" spans="1:10" ht="12.75" outlineLevel="2">
      <c r="A847" s="645">
        <v>2141126080</v>
      </c>
      <c r="B847" s="635" t="s">
        <v>38</v>
      </c>
      <c r="C847" s="635" t="s">
        <v>1422</v>
      </c>
      <c r="D847" s="635"/>
      <c r="E847" s="635" t="s">
        <v>1494</v>
      </c>
      <c r="F847" s="465" t="s">
        <v>39</v>
      </c>
      <c r="G847" s="466">
        <v>0</v>
      </c>
      <c r="H847" s="466">
        <v>0</v>
      </c>
      <c r="I847" s="467">
        <v>0.336</v>
      </c>
      <c r="J847" s="468">
        <v>0</v>
      </c>
    </row>
    <row r="848" spans="1:10" ht="12.75" outlineLevel="2">
      <c r="A848" s="645">
        <v>2141127001</v>
      </c>
      <c r="B848" s="635" t="s">
        <v>40</v>
      </c>
      <c r="C848" s="635" t="s">
        <v>1420</v>
      </c>
      <c r="D848" s="635"/>
      <c r="E848" s="635" t="s">
        <v>1494</v>
      </c>
      <c r="F848" s="465" t="s">
        <v>96</v>
      </c>
      <c r="G848" s="466">
        <v>0</v>
      </c>
      <c r="H848" s="466">
        <v>1.74</v>
      </c>
      <c r="I848" s="467">
        <v>1.739</v>
      </c>
      <c r="J848" s="468">
        <v>0</v>
      </c>
    </row>
    <row r="849" spans="1:10" ht="12.75" outlineLevel="2">
      <c r="A849" s="645">
        <v>2141127004</v>
      </c>
      <c r="B849" s="635" t="s">
        <v>41</v>
      </c>
      <c r="C849" s="635" t="s">
        <v>1426</v>
      </c>
      <c r="D849" s="635"/>
      <c r="E849" s="635" t="s">
        <v>1494</v>
      </c>
      <c r="F849" s="465" t="s">
        <v>96</v>
      </c>
      <c r="G849" s="466">
        <v>7.41</v>
      </c>
      <c r="H849" s="466">
        <v>1.674</v>
      </c>
      <c r="I849" s="467">
        <v>1.674</v>
      </c>
      <c r="J849" s="468">
        <v>0</v>
      </c>
    </row>
    <row r="850" spans="1:10" ht="12.75" outlineLevel="2">
      <c r="A850" s="645">
        <v>2141127004</v>
      </c>
      <c r="B850" s="635" t="s">
        <v>41</v>
      </c>
      <c r="C850" s="635" t="s">
        <v>1426</v>
      </c>
      <c r="D850" s="635"/>
      <c r="E850" s="635" t="s">
        <v>1494</v>
      </c>
      <c r="F850" s="465" t="s">
        <v>333</v>
      </c>
      <c r="G850" s="466">
        <v>0</v>
      </c>
      <c r="H850" s="466">
        <v>0</v>
      </c>
      <c r="I850" s="467">
        <v>0.979</v>
      </c>
      <c r="J850" s="468">
        <v>0</v>
      </c>
    </row>
    <row r="851" spans="1:10" ht="12.75" outlineLevel="2">
      <c r="A851" s="645">
        <v>2141127007</v>
      </c>
      <c r="B851" s="635" t="s">
        <v>42</v>
      </c>
      <c r="C851" s="635" t="s">
        <v>1428</v>
      </c>
      <c r="D851" s="635"/>
      <c r="E851" s="635" t="s">
        <v>1494</v>
      </c>
      <c r="F851" s="465" t="s">
        <v>96</v>
      </c>
      <c r="G851" s="466">
        <v>0</v>
      </c>
      <c r="H851" s="466">
        <v>10.089</v>
      </c>
      <c r="I851" s="467">
        <v>1.926</v>
      </c>
      <c r="J851" s="468">
        <v>8.163</v>
      </c>
    </row>
    <row r="852" spans="1:10" ht="12.75" outlineLevel="2">
      <c r="A852" s="645">
        <v>2141127023</v>
      </c>
      <c r="B852" s="635" t="s">
        <v>43</v>
      </c>
      <c r="C852" s="635" t="s">
        <v>1427</v>
      </c>
      <c r="D852" s="635"/>
      <c r="E852" s="635" t="s">
        <v>1494</v>
      </c>
      <c r="F852" s="465" t="s">
        <v>333</v>
      </c>
      <c r="G852" s="466">
        <v>0</v>
      </c>
      <c r="H852" s="466">
        <v>0</v>
      </c>
      <c r="I852" s="467">
        <v>0.821</v>
      </c>
      <c r="J852" s="468">
        <v>0</v>
      </c>
    </row>
    <row r="853" spans="1:10" ht="12.75" outlineLevel="2">
      <c r="A853" s="645">
        <v>2141127052</v>
      </c>
      <c r="B853" s="635" t="s">
        <v>44</v>
      </c>
      <c r="C853" s="635" t="s">
        <v>1420</v>
      </c>
      <c r="D853" s="635"/>
      <c r="E853" s="635" t="s">
        <v>1494</v>
      </c>
      <c r="F853" s="465" t="s">
        <v>333</v>
      </c>
      <c r="G853" s="466">
        <v>0</v>
      </c>
      <c r="H853" s="466">
        <v>0</v>
      </c>
      <c r="I853" s="467">
        <v>24.892</v>
      </c>
      <c r="J853" s="468">
        <v>0</v>
      </c>
    </row>
    <row r="854" spans="1:10" ht="12.75" outlineLevel="2">
      <c r="A854" s="645">
        <v>2141127077</v>
      </c>
      <c r="B854" s="635" t="s">
        <v>45</v>
      </c>
      <c r="C854" s="635" t="s">
        <v>1427</v>
      </c>
      <c r="D854" s="635"/>
      <c r="E854" s="635" t="s">
        <v>1494</v>
      </c>
      <c r="F854" s="465" t="s">
        <v>473</v>
      </c>
      <c r="G854" s="466">
        <v>0</v>
      </c>
      <c r="H854" s="466">
        <v>0.081</v>
      </c>
      <c r="I854" s="467">
        <v>0.07</v>
      </c>
      <c r="J854" s="468">
        <v>0</v>
      </c>
    </row>
    <row r="855" spans="1:10" ht="12.75" outlineLevel="2">
      <c r="A855" s="645">
        <v>2141127078</v>
      </c>
      <c r="B855" s="635" t="s">
        <v>46</v>
      </c>
      <c r="C855" s="635" t="s">
        <v>1427</v>
      </c>
      <c r="D855" s="635"/>
      <c r="E855" s="635" t="s">
        <v>1494</v>
      </c>
      <c r="F855" s="465" t="s">
        <v>118</v>
      </c>
      <c r="G855" s="466">
        <v>0</v>
      </c>
      <c r="H855" s="466">
        <v>1.392</v>
      </c>
      <c r="I855" s="467">
        <v>0</v>
      </c>
      <c r="J855" s="468">
        <v>1.392</v>
      </c>
    </row>
    <row r="856" spans="1:10" ht="12.75" outlineLevel="2">
      <c r="A856" s="645">
        <v>2141127079</v>
      </c>
      <c r="B856" s="635" t="s">
        <v>47</v>
      </c>
      <c r="C856" s="635" t="s">
        <v>1427</v>
      </c>
      <c r="D856" s="635"/>
      <c r="E856" s="635" t="s">
        <v>1494</v>
      </c>
      <c r="F856" s="465" t="s">
        <v>118</v>
      </c>
      <c r="G856" s="466">
        <v>0</v>
      </c>
      <c r="H856" s="466">
        <v>4.801</v>
      </c>
      <c r="I856" s="467">
        <v>0</v>
      </c>
      <c r="J856" s="468">
        <v>4.801</v>
      </c>
    </row>
    <row r="857" spans="1:10" ht="12.75" outlineLevel="2">
      <c r="A857" s="645">
        <v>2141127082</v>
      </c>
      <c r="B857" s="635" t="s">
        <v>48</v>
      </c>
      <c r="C857" s="635" t="s">
        <v>1423</v>
      </c>
      <c r="D857" s="635"/>
      <c r="E857" s="635" t="s">
        <v>1494</v>
      </c>
      <c r="F857" s="465" t="s">
        <v>96</v>
      </c>
      <c r="G857" s="466">
        <v>0</v>
      </c>
      <c r="H857" s="466">
        <v>2.401</v>
      </c>
      <c r="I857" s="467">
        <v>2.4</v>
      </c>
      <c r="J857" s="468">
        <v>0</v>
      </c>
    </row>
    <row r="858" spans="1:10" ht="12.75" outlineLevel="2">
      <c r="A858" s="645">
        <v>2141127098</v>
      </c>
      <c r="B858" s="635" t="s">
        <v>49</v>
      </c>
      <c r="C858" s="635" t="s">
        <v>1422</v>
      </c>
      <c r="D858" s="635"/>
      <c r="E858" s="635" t="s">
        <v>1494</v>
      </c>
      <c r="F858" s="465" t="s">
        <v>96</v>
      </c>
      <c r="G858" s="466">
        <v>0</v>
      </c>
      <c r="H858" s="466">
        <v>0.193</v>
      </c>
      <c r="I858" s="467">
        <v>0.192</v>
      </c>
      <c r="J858" s="468">
        <v>0</v>
      </c>
    </row>
    <row r="859" spans="1:10" ht="12.75" outlineLevel="2">
      <c r="A859" s="645">
        <v>2141127100</v>
      </c>
      <c r="B859" s="635" t="s">
        <v>50</v>
      </c>
      <c r="C859" s="635" t="s">
        <v>1422</v>
      </c>
      <c r="D859" s="635"/>
      <c r="E859" s="635" t="s">
        <v>1494</v>
      </c>
      <c r="F859" s="465" t="s">
        <v>473</v>
      </c>
      <c r="G859" s="466">
        <v>0</v>
      </c>
      <c r="H859" s="466">
        <v>0.55</v>
      </c>
      <c r="I859" s="467">
        <v>0.549</v>
      </c>
      <c r="J859" s="468">
        <v>0</v>
      </c>
    </row>
    <row r="860" spans="1:10" ht="12.75" outlineLevel="2">
      <c r="A860" s="645">
        <v>2141127100</v>
      </c>
      <c r="B860" s="635" t="s">
        <v>50</v>
      </c>
      <c r="C860" s="635" t="s">
        <v>1422</v>
      </c>
      <c r="D860" s="635"/>
      <c r="E860" s="635" t="s">
        <v>1494</v>
      </c>
      <c r="F860" s="465" t="s">
        <v>118</v>
      </c>
      <c r="G860" s="466">
        <v>0</v>
      </c>
      <c r="H860" s="466">
        <v>2.6</v>
      </c>
      <c r="I860" s="467">
        <v>2.591</v>
      </c>
      <c r="J860" s="468">
        <v>0</v>
      </c>
    </row>
    <row r="861" spans="1:10" ht="12.75" outlineLevel="2">
      <c r="A861" s="645">
        <v>2141127100</v>
      </c>
      <c r="B861" s="635" t="s">
        <v>50</v>
      </c>
      <c r="C861" s="635" t="s">
        <v>1422</v>
      </c>
      <c r="D861" s="635"/>
      <c r="E861" s="635" t="s">
        <v>1494</v>
      </c>
      <c r="F861" s="465" t="s">
        <v>39</v>
      </c>
      <c r="G861" s="466">
        <v>0</v>
      </c>
      <c r="H861" s="466">
        <v>0</v>
      </c>
      <c r="I861" s="467">
        <v>0.454</v>
      </c>
      <c r="J861" s="468">
        <v>0</v>
      </c>
    </row>
    <row r="862" spans="1:10" ht="12.75" outlineLevel="2">
      <c r="A862" s="645">
        <v>2141127102</v>
      </c>
      <c r="B862" s="635" t="s">
        <v>51</v>
      </c>
      <c r="C862" s="635" t="s">
        <v>1426</v>
      </c>
      <c r="D862" s="635"/>
      <c r="E862" s="635" t="s">
        <v>1494</v>
      </c>
      <c r="F862" s="465" t="s">
        <v>1845</v>
      </c>
      <c r="G862" s="466">
        <v>0</v>
      </c>
      <c r="H862" s="466">
        <v>1.035</v>
      </c>
      <c r="I862" s="467">
        <v>1.018</v>
      </c>
      <c r="J862" s="468">
        <v>0.017</v>
      </c>
    </row>
    <row r="863" spans="1:10" ht="12.75" outlineLevel="2">
      <c r="A863" s="645">
        <v>2141127102</v>
      </c>
      <c r="B863" s="635" t="s">
        <v>51</v>
      </c>
      <c r="C863" s="635" t="s">
        <v>1426</v>
      </c>
      <c r="D863" s="635"/>
      <c r="E863" s="635" t="s">
        <v>1494</v>
      </c>
      <c r="F863" s="465" t="s">
        <v>96</v>
      </c>
      <c r="G863" s="466">
        <v>0</v>
      </c>
      <c r="H863" s="466">
        <v>17.804</v>
      </c>
      <c r="I863" s="467">
        <v>17.804</v>
      </c>
      <c r="J863" s="468">
        <v>0</v>
      </c>
    </row>
    <row r="864" spans="1:10" ht="12.75" outlineLevel="2">
      <c r="A864" s="645">
        <v>2141127103</v>
      </c>
      <c r="B864" s="635" t="s">
        <v>52</v>
      </c>
      <c r="C864" s="635" t="s">
        <v>1426</v>
      </c>
      <c r="D864" s="635"/>
      <c r="E864" s="635" t="s">
        <v>1494</v>
      </c>
      <c r="F864" s="465" t="s">
        <v>96</v>
      </c>
      <c r="G864" s="466">
        <v>0</v>
      </c>
      <c r="H864" s="466">
        <v>0.514</v>
      </c>
      <c r="I864" s="467">
        <v>0.513</v>
      </c>
      <c r="J864" s="468">
        <v>0</v>
      </c>
    </row>
    <row r="865" spans="1:10" ht="12.75" outlineLevel="2">
      <c r="A865" s="645">
        <v>2141127106</v>
      </c>
      <c r="B865" s="635" t="s">
        <v>53</v>
      </c>
      <c r="C865" s="635" t="s">
        <v>1426</v>
      </c>
      <c r="D865" s="635"/>
      <c r="E865" s="635" t="s">
        <v>1494</v>
      </c>
      <c r="F865" s="465" t="s">
        <v>1845</v>
      </c>
      <c r="G865" s="466">
        <v>0</v>
      </c>
      <c r="H865" s="466">
        <v>0.256</v>
      </c>
      <c r="I865" s="467">
        <v>0.256</v>
      </c>
      <c r="J865" s="468">
        <v>0</v>
      </c>
    </row>
    <row r="866" spans="1:10" ht="12.75" outlineLevel="2">
      <c r="A866" s="645">
        <v>2141127106</v>
      </c>
      <c r="B866" s="635" t="s">
        <v>53</v>
      </c>
      <c r="C866" s="635" t="s">
        <v>1426</v>
      </c>
      <c r="D866" s="635"/>
      <c r="E866" s="635" t="s">
        <v>1494</v>
      </c>
      <c r="F866" s="465" t="s">
        <v>96</v>
      </c>
      <c r="G866" s="466">
        <v>0</v>
      </c>
      <c r="H866" s="466">
        <v>4.146</v>
      </c>
      <c r="I866" s="467">
        <v>4.146</v>
      </c>
      <c r="J866" s="468">
        <v>0</v>
      </c>
    </row>
    <row r="867" spans="1:10" ht="12.75" outlineLevel="2">
      <c r="A867" s="645">
        <v>2141127109</v>
      </c>
      <c r="B867" s="635" t="s">
        <v>54</v>
      </c>
      <c r="C867" s="635" t="s">
        <v>1424</v>
      </c>
      <c r="D867" s="635"/>
      <c r="E867" s="635" t="s">
        <v>1494</v>
      </c>
      <c r="F867" s="465" t="s">
        <v>96</v>
      </c>
      <c r="G867" s="466">
        <v>0</v>
      </c>
      <c r="H867" s="466">
        <v>0.328</v>
      </c>
      <c r="I867" s="467">
        <v>0.327</v>
      </c>
      <c r="J867" s="468">
        <v>0</v>
      </c>
    </row>
    <row r="868" spans="1:10" ht="12.75" outlineLevel="2">
      <c r="A868" s="645">
        <v>2141127110</v>
      </c>
      <c r="B868" s="635" t="s">
        <v>55</v>
      </c>
      <c r="C868" s="635" t="s">
        <v>1424</v>
      </c>
      <c r="D868" s="635"/>
      <c r="E868" s="635" t="s">
        <v>1494</v>
      </c>
      <c r="F868" s="465" t="s">
        <v>96</v>
      </c>
      <c r="G868" s="466">
        <v>0.316</v>
      </c>
      <c r="H868" s="466">
        <v>0.316</v>
      </c>
      <c r="I868" s="467">
        <v>0.315</v>
      </c>
      <c r="J868" s="468">
        <v>0</v>
      </c>
    </row>
    <row r="869" spans="1:10" ht="12.75" outlineLevel="2">
      <c r="A869" s="645">
        <v>2141127114</v>
      </c>
      <c r="B869" s="635" t="s">
        <v>56</v>
      </c>
      <c r="C869" s="635" t="s">
        <v>1424</v>
      </c>
      <c r="D869" s="635"/>
      <c r="E869" s="635" t="s">
        <v>1494</v>
      </c>
      <c r="F869" s="465" t="s">
        <v>96</v>
      </c>
      <c r="G869" s="466">
        <v>0.2</v>
      </c>
      <c r="H869" s="466">
        <v>0.2</v>
      </c>
      <c r="I869" s="467">
        <v>0.2</v>
      </c>
      <c r="J869" s="468">
        <v>0</v>
      </c>
    </row>
    <row r="870" spans="1:10" ht="12.75" outlineLevel="2">
      <c r="A870" s="645">
        <v>2141127124</v>
      </c>
      <c r="B870" s="635" t="s">
        <v>57</v>
      </c>
      <c r="C870" s="635" t="s">
        <v>1428</v>
      </c>
      <c r="D870" s="635"/>
      <c r="E870" s="635" t="s">
        <v>1494</v>
      </c>
      <c r="F870" s="465" t="s">
        <v>473</v>
      </c>
      <c r="G870" s="466">
        <v>0</v>
      </c>
      <c r="H870" s="466">
        <v>0.432</v>
      </c>
      <c r="I870" s="467">
        <v>0</v>
      </c>
      <c r="J870" s="468">
        <v>0.432</v>
      </c>
    </row>
    <row r="871" spans="1:10" ht="12.75" outlineLevel="2">
      <c r="A871" s="645">
        <v>2141127124</v>
      </c>
      <c r="B871" s="635" t="s">
        <v>57</v>
      </c>
      <c r="C871" s="635" t="s">
        <v>1428</v>
      </c>
      <c r="D871" s="635"/>
      <c r="E871" s="635" t="s">
        <v>1494</v>
      </c>
      <c r="F871" s="465" t="s">
        <v>118</v>
      </c>
      <c r="G871" s="466">
        <v>0</v>
      </c>
      <c r="H871" s="466">
        <v>5.832</v>
      </c>
      <c r="I871" s="467">
        <v>0.267</v>
      </c>
      <c r="J871" s="468">
        <v>5.565</v>
      </c>
    </row>
    <row r="872" spans="1:10" ht="12.75" outlineLevel="2">
      <c r="A872" s="645">
        <v>2141127129</v>
      </c>
      <c r="B872" s="635" t="s">
        <v>58</v>
      </c>
      <c r="C872" s="635" t="s">
        <v>1424</v>
      </c>
      <c r="D872" s="635"/>
      <c r="E872" s="635" t="s">
        <v>1494</v>
      </c>
      <c r="F872" s="465" t="s">
        <v>96</v>
      </c>
      <c r="G872" s="466">
        <v>0</v>
      </c>
      <c r="H872" s="466">
        <v>1.46</v>
      </c>
      <c r="I872" s="467">
        <v>1.46</v>
      </c>
      <c r="J872" s="468">
        <v>0</v>
      </c>
    </row>
    <row r="873" spans="1:10" ht="12.75" outlineLevel="2">
      <c r="A873" s="645">
        <v>2141127137</v>
      </c>
      <c r="B873" s="635" t="s">
        <v>59</v>
      </c>
      <c r="C873" s="635" t="s">
        <v>1424</v>
      </c>
      <c r="D873" s="635"/>
      <c r="E873" s="635" t="s">
        <v>1494</v>
      </c>
      <c r="F873" s="465" t="s">
        <v>96</v>
      </c>
      <c r="G873" s="466">
        <v>5</v>
      </c>
      <c r="H873" s="466">
        <v>0.102</v>
      </c>
      <c r="I873" s="467">
        <v>0.101</v>
      </c>
      <c r="J873" s="468">
        <v>0</v>
      </c>
    </row>
    <row r="874" spans="1:10" ht="12.75" outlineLevel="2">
      <c r="A874" s="645">
        <v>2141127138</v>
      </c>
      <c r="B874" s="635" t="s">
        <v>60</v>
      </c>
      <c r="C874" s="635" t="s">
        <v>1424</v>
      </c>
      <c r="D874" s="635"/>
      <c r="E874" s="635" t="s">
        <v>1494</v>
      </c>
      <c r="F874" s="465" t="s">
        <v>118</v>
      </c>
      <c r="G874" s="466">
        <v>0</v>
      </c>
      <c r="H874" s="466">
        <v>1.813</v>
      </c>
      <c r="I874" s="467">
        <v>0</v>
      </c>
      <c r="J874" s="468">
        <v>1.813</v>
      </c>
    </row>
    <row r="875" spans="1:10" ht="12.75" outlineLevel="2">
      <c r="A875" s="645">
        <v>2141127140</v>
      </c>
      <c r="B875" s="635" t="s">
        <v>61</v>
      </c>
      <c r="C875" s="635" t="s">
        <v>1424</v>
      </c>
      <c r="D875" s="635"/>
      <c r="E875" s="635" t="s">
        <v>1494</v>
      </c>
      <c r="F875" s="465" t="s">
        <v>118</v>
      </c>
      <c r="G875" s="466">
        <v>0</v>
      </c>
      <c r="H875" s="466">
        <v>0.238</v>
      </c>
      <c r="I875" s="467">
        <v>0.238</v>
      </c>
      <c r="J875" s="468">
        <v>0</v>
      </c>
    </row>
    <row r="876" spans="1:10" ht="12.75" outlineLevel="2">
      <c r="A876" s="645">
        <v>2141127140</v>
      </c>
      <c r="B876" s="635" t="s">
        <v>61</v>
      </c>
      <c r="C876" s="635" t="s">
        <v>1424</v>
      </c>
      <c r="D876" s="635"/>
      <c r="E876" s="635" t="s">
        <v>1494</v>
      </c>
      <c r="F876" s="465" t="s">
        <v>39</v>
      </c>
      <c r="G876" s="466">
        <v>0</v>
      </c>
      <c r="H876" s="466">
        <v>0</v>
      </c>
      <c r="I876" s="467">
        <v>0.042</v>
      </c>
      <c r="J876" s="468">
        <v>0</v>
      </c>
    </row>
    <row r="877" spans="1:10" ht="12.75" outlineLevel="2">
      <c r="A877" s="645">
        <v>2141127159</v>
      </c>
      <c r="B877" s="635" t="s">
        <v>62</v>
      </c>
      <c r="C877" s="635" t="s">
        <v>1425</v>
      </c>
      <c r="D877" s="635"/>
      <c r="E877" s="635" t="s">
        <v>1494</v>
      </c>
      <c r="F877" s="465" t="s">
        <v>333</v>
      </c>
      <c r="G877" s="466">
        <v>0</v>
      </c>
      <c r="H877" s="466">
        <v>0</v>
      </c>
      <c r="I877" s="467">
        <v>0.007</v>
      </c>
      <c r="J877" s="468">
        <v>0</v>
      </c>
    </row>
    <row r="878" spans="1:10" ht="12.75" outlineLevel="2">
      <c r="A878" s="645">
        <v>2141127160</v>
      </c>
      <c r="B878" s="635" t="s">
        <v>63</v>
      </c>
      <c r="C878" s="635" t="s">
        <v>1427</v>
      </c>
      <c r="D878" s="635"/>
      <c r="E878" s="635" t="s">
        <v>1494</v>
      </c>
      <c r="F878" s="465" t="s">
        <v>473</v>
      </c>
      <c r="G878" s="466">
        <v>0</v>
      </c>
      <c r="H878" s="466">
        <v>0.081</v>
      </c>
      <c r="I878" s="467">
        <v>0.071</v>
      </c>
      <c r="J878" s="468">
        <v>0</v>
      </c>
    </row>
    <row r="879" spans="1:10" ht="12.75" outlineLevel="2">
      <c r="A879" s="645">
        <v>2141127160</v>
      </c>
      <c r="B879" s="635" t="s">
        <v>63</v>
      </c>
      <c r="C879" s="635" t="s">
        <v>1427</v>
      </c>
      <c r="D879" s="635"/>
      <c r="E879" s="635" t="s">
        <v>1494</v>
      </c>
      <c r="F879" s="465" t="s">
        <v>118</v>
      </c>
      <c r="G879" s="466">
        <v>0</v>
      </c>
      <c r="H879" s="466">
        <v>3.286</v>
      </c>
      <c r="I879" s="467">
        <v>0</v>
      </c>
      <c r="J879" s="468">
        <v>3.286</v>
      </c>
    </row>
    <row r="880" spans="1:10" ht="12.75" outlineLevel="2">
      <c r="A880" s="645">
        <v>2141127161</v>
      </c>
      <c r="B880" s="635" t="s">
        <v>64</v>
      </c>
      <c r="C880" s="635" t="s">
        <v>1427</v>
      </c>
      <c r="D880" s="635"/>
      <c r="E880" s="635" t="s">
        <v>1494</v>
      </c>
      <c r="F880" s="465" t="s">
        <v>473</v>
      </c>
      <c r="G880" s="466">
        <v>0</v>
      </c>
      <c r="H880" s="466">
        <v>0.081</v>
      </c>
      <c r="I880" s="467">
        <v>0.07</v>
      </c>
      <c r="J880" s="468">
        <v>0</v>
      </c>
    </row>
    <row r="881" spans="1:10" ht="12.75" outlineLevel="2">
      <c r="A881" s="645">
        <v>2141127161</v>
      </c>
      <c r="B881" s="635" t="s">
        <v>64</v>
      </c>
      <c r="C881" s="635" t="s">
        <v>1427</v>
      </c>
      <c r="D881" s="635"/>
      <c r="E881" s="635" t="s">
        <v>1494</v>
      </c>
      <c r="F881" s="465" t="s">
        <v>118</v>
      </c>
      <c r="G881" s="466">
        <v>0</v>
      </c>
      <c r="H881" s="466">
        <v>2.373</v>
      </c>
      <c r="I881" s="467">
        <v>0</v>
      </c>
      <c r="J881" s="468">
        <v>2.373</v>
      </c>
    </row>
    <row r="882" spans="1:10" ht="12.75" outlineLevel="2">
      <c r="A882" s="645">
        <v>2141127162</v>
      </c>
      <c r="B882" s="635" t="s">
        <v>65</v>
      </c>
      <c r="C882" s="635" t="s">
        <v>1427</v>
      </c>
      <c r="D882" s="635"/>
      <c r="E882" s="635" t="s">
        <v>1494</v>
      </c>
      <c r="F882" s="465" t="s">
        <v>473</v>
      </c>
      <c r="G882" s="466">
        <v>0</v>
      </c>
      <c r="H882" s="466">
        <v>0.081</v>
      </c>
      <c r="I882" s="467">
        <v>0.071</v>
      </c>
      <c r="J882" s="468">
        <v>0</v>
      </c>
    </row>
    <row r="883" spans="1:10" ht="12.75" outlineLevel="2">
      <c r="A883" s="645">
        <v>2141127162</v>
      </c>
      <c r="B883" s="635" t="s">
        <v>65</v>
      </c>
      <c r="C883" s="635" t="s">
        <v>1427</v>
      </c>
      <c r="D883" s="635"/>
      <c r="E883" s="635" t="s">
        <v>1494</v>
      </c>
      <c r="F883" s="465" t="s">
        <v>118</v>
      </c>
      <c r="G883" s="466">
        <v>0</v>
      </c>
      <c r="H883" s="466">
        <v>2.509</v>
      </c>
      <c r="I883" s="467">
        <v>0</v>
      </c>
      <c r="J883" s="468">
        <v>2.509</v>
      </c>
    </row>
    <row r="884" spans="1:10" ht="12.75" outlineLevel="2">
      <c r="A884" s="645">
        <v>2141127163</v>
      </c>
      <c r="B884" s="635" t="s">
        <v>66</v>
      </c>
      <c r="C884" s="635" t="s">
        <v>1427</v>
      </c>
      <c r="D884" s="635"/>
      <c r="E884" s="635" t="s">
        <v>1494</v>
      </c>
      <c r="F884" s="465" t="s">
        <v>473</v>
      </c>
      <c r="G884" s="466">
        <v>0</v>
      </c>
      <c r="H884" s="466">
        <v>0.081</v>
      </c>
      <c r="I884" s="467">
        <v>0.07</v>
      </c>
      <c r="J884" s="468">
        <v>0</v>
      </c>
    </row>
    <row r="885" spans="1:10" ht="12.75" outlineLevel="2">
      <c r="A885" s="645">
        <v>2141127163</v>
      </c>
      <c r="B885" s="635" t="s">
        <v>66</v>
      </c>
      <c r="C885" s="635" t="s">
        <v>1427</v>
      </c>
      <c r="D885" s="635"/>
      <c r="E885" s="635" t="s">
        <v>1494</v>
      </c>
      <c r="F885" s="465" t="s">
        <v>118</v>
      </c>
      <c r="G885" s="466">
        <v>0</v>
      </c>
      <c r="H885" s="466">
        <v>2.189</v>
      </c>
      <c r="I885" s="467">
        <v>0</v>
      </c>
      <c r="J885" s="468">
        <v>2.189</v>
      </c>
    </row>
    <row r="886" spans="1:10" ht="12.75" outlineLevel="2">
      <c r="A886" s="645">
        <v>2141127164</v>
      </c>
      <c r="B886" s="635" t="s">
        <v>67</v>
      </c>
      <c r="C886" s="635" t="s">
        <v>1427</v>
      </c>
      <c r="D886" s="635"/>
      <c r="E886" s="635" t="s">
        <v>1494</v>
      </c>
      <c r="F886" s="465" t="s">
        <v>473</v>
      </c>
      <c r="G886" s="466">
        <v>0</v>
      </c>
      <c r="H886" s="466">
        <v>0.081</v>
      </c>
      <c r="I886" s="467">
        <v>0.071</v>
      </c>
      <c r="J886" s="468">
        <v>0</v>
      </c>
    </row>
    <row r="887" spans="1:10" ht="12.75" outlineLevel="2">
      <c r="A887" s="645">
        <v>2141127165</v>
      </c>
      <c r="B887" s="635" t="s">
        <v>68</v>
      </c>
      <c r="C887" s="635" t="s">
        <v>1427</v>
      </c>
      <c r="D887" s="635"/>
      <c r="E887" s="635" t="s">
        <v>1494</v>
      </c>
      <c r="F887" s="465" t="s">
        <v>473</v>
      </c>
      <c r="G887" s="466">
        <v>0</v>
      </c>
      <c r="H887" s="466">
        <v>0.081</v>
      </c>
      <c r="I887" s="467">
        <v>0.07</v>
      </c>
      <c r="J887" s="468">
        <v>0</v>
      </c>
    </row>
    <row r="888" spans="1:10" ht="12.75" outlineLevel="2">
      <c r="A888" s="645">
        <v>2141127165</v>
      </c>
      <c r="B888" s="635" t="s">
        <v>68</v>
      </c>
      <c r="C888" s="635" t="s">
        <v>1427</v>
      </c>
      <c r="D888" s="635"/>
      <c r="E888" s="635" t="s">
        <v>1494</v>
      </c>
      <c r="F888" s="465" t="s">
        <v>118</v>
      </c>
      <c r="G888" s="466">
        <v>0</v>
      </c>
      <c r="H888" s="466">
        <v>3.469</v>
      </c>
      <c r="I888" s="467">
        <v>0</v>
      </c>
      <c r="J888" s="468">
        <v>3.469</v>
      </c>
    </row>
    <row r="889" spans="1:10" ht="12.75" outlineLevel="2">
      <c r="A889" s="645">
        <v>2141127167</v>
      </c>
      <c r="B889" s="635" t="s">
        <v>69</v>
      </c>
      <c r="C889" s="635" t="s">
        <v>1427</v>
      </c>
      <c r="D889" s="635"/>
      <c r="E889" s="635" t="s">
        <v>1494</v>
      </c>
      <c r="F889" s="465" t="s">
        <v>473</v>
      </c>
      <c r="G889" s="466">
        <v>0</v>
      </c>
      <c r="H889" s="466">
        <v>0.081</v>
      </c>
      <c r="I889" s="467">
        <v>0.071</v>
      </c>
      <c r="J889" s="468">
        <v>0</v>
      </c>
    </row>
    <row r="890" spans="1:10" ht="12.75" outlineLevel="2">
      <c r="A890" s="645">
        <v>2141127167</v>
      </c>
      <c r="B890" s="635" t="s">
        <v>69</v>
      </c>
      <c r="C890" s="635" t="s">
        <v>1427</v>
      </c>
      <c r="D890" s="635"/>
      <c r="E890" s="635" t="s">
        <v>1494</v>
      </c>
      <c r="F890" s="465" t="s">
        <v>118</v>
      </c>
      <c r="G890" s="466">
        <v>0</v>
      </c>
      <c r="H890" s="466">
        <v>2.509</v>
      </c>
      <c r="I890" s="467">
        <v>0</v>
      </c>
      <c r="J890" s="468">
        <v>2.509</v>
      </c>
    </row>
    <row r="891" spans="1:10" ht="12.75" outlineLevel="2">
      <c r="A891" s="645">
        <v>2141127168</v>
      </c>
      <c r="B891" s="635" t="s">
        <v>70</v>
      </c>
      <c r="C891" s="635" t="s">
        <v>1427</v>
      </c>
      <c r="D891" s="635"/>
      <c r="E891" s="635" t="s">
        <v>1494</v>
      </c>
      <c r="F891" s="465" t="s">
        <v>473</v>
      </c>
      <c r="G891" s="466">
        <v>0</v>
      </c>
      <c r="H891" s="466">
        <v>0.081</v>
      </c>
      <c r="I891" s="467">
        <v>0.07</v>
      </c>
      <c r="J891" s="468">
        <v>0</v>
      </c>
    </row>
    <row r="892" spans="1:10" ht="12.75" outlineLevel="2">
      <c r="A892" s="645">
        <v>2141127168</v>
      </c>
      <c r="B892" s="635" t="s">
        <v>70</v>
      </c>
      <c r="C892" s="635" t="s">
        <v>1427</v>
      </c>
      <c r="D892" s="635"/>
      <c r="E892" s="635" t="s">
        <v>1494</v>
      </c>
      <c r="F892" s="465" t="s">
        <v>118</v>
      </c>
      <c r="G892" s="466">
        <v>0</v>
      </c>
      <c r="H892" s="466">
        <v>1.509</v>
      </c>
      <c r="I892" s="467">
        <v>0</v>
      </c>
      <c r="J892" s="468">
        <v>1.509</v>
      </c>
    </row>
    <row r="893" spans="1:10" ht="12.75" outlineLevel="2">
      <c r="A893" s="645">
        <v>2141127170</v>
      </c>
      <c r="B893" s="635" t="s">
        <v>71</v>
      </c>
      <c r="C893" s="635" t="s">
        <v>1427</v>
      </c>
      <c r="D893" s="635"/>
      <c r="E893" s="635" t="s">
        <v>1494</v>
      </c>
      <c r="F893" s="465" t="s">
        <v>473</v>
      </c>
      <c r="G893" s="466">
        <v>0</v>
      </c>
      <c r="H893" s="466">
        <v>0.081</v>
      </c>
      <c r="I893" s="467">
        <v>0.071</v>
      </c>
      <c r="J893" s="468">
        <v>0</v>
      </c>
    </row>
    <row r="894" spans="1:10" ht="12.75" outlineLevel="2">
      <c r="A894" s="645">
        <v>2141127170</v>
      </c>
      <c r="B894" s="635" t="s">
        <v>71</v>
      </c>
      <c r="C894" s="635" t="s">
        <v>1427</v>
      </c>
      <c r="D894" s="635"/>
      <c r="E894" s="635" t="s">
        <v>1494</v>
      </c>
      <c r="F894" s="465" t="s">
        <v>118</v>
      </c>
      <c r="G894" s="466">
        <v>0</v>
      </c>
      <c r="H894" s="466">
        <v>2.861</v>
      </c>
      <c r="I894" s="467">
        <v>1.8</v>
      </c>
      <c r="J894" s="468">
        <v>1.061</v>
      </c>
    </row>
    <row r="895" spans="1:10" ht="12.75" outlineLevel="2">
      <c r="A895" s="645">
        <v>2141127172</v>
      </c>
      <c r="B895" s="635" t="s">
        <v>72</v>
      </c>
      <c r="C895" s="635" t="s">
        <v>1427</v>
      </c>
      <c r="D895" s="635"/>
      <c r="E895" s="635" t="s">
        <v>1494</v>
      </c>
      <c r="F895" s="465" t="s">
        <v>473</v>
      </c>
      <c r="G895" s="466">
        <v>0</v>
      </c>
      <c r="H895" s="466">
        <v>0.081</v>
      </c>
      <c r="I895" s="467">
        <v>0.07</v>
      </c>
      <c r="J895" s="468">
        <v>0</v>
      </c>
    </row>
    <row r="896" spans="1:10" ht="12.75" outlineLevel="2">
      <c r="A896" s="645">
        <v>2141127172</v>
      </c>
      <c r="B896" s="635" t="s">
        <v>72</v>
      </c>
      <c r="C896" s="635" t="s">
        <v>1427</v>
      </c>
      <c r="D896" s="635"/>
      <c r="E896" s="635" t="s">
        <v>1494</v>
      </c>
      <c r="F896" s="465" t="s">
        <v>118</v>
      </c>
      <c r="G896" s="466">
        <v>0</v>
      </c>
      <c r="H896" s="466">
        <v>2.8</v>
      </c>
      <c r="I896" s="467">
        <v>1.8</v>
      </c>
      <c r="J896" s="468">
        <v>1</v>
      </c>
    </row>
    <row r="897" spans="1:10" ht="12.75" outlineLevel="2">
      <c r="A897" s="645">
        <v>2141127173</v>
      </c>
      <c r="B897" s="635" t="s">
        <v>73</v>
      </c>
      <c r="C897" s="635" t="s">
        <v>1427</v>
      </c>
      <c r="D897" s="635"/>
      <c r="E897" s="635" t="s">
        <v>1494</v>
      </c>
      <c r="F897" s="465" t="s">
        <v>473</v>
      </c>
      <c r="G897" s="466">
        <v>0</v>
      </c>
      <c r="H897" s="466">
        <v>0.081</v>
      </c>
      <c r="I897" s="467">
        <v>0.071</v>
      </c>
      <c r="J897" s="468">
        <v>0</v>
      </c>
    </row>
    <row r="898" spans="1:10" ht="12.75" outlineLevel="2">
      <c r="A898" s="645">
        <v>2141127173</v>
      </c>
      <c r="B898" s="635" t="s">
        <v>73</v>
      </c>
      <c r="C898" s="635" t="s">
        <v>1427</v>
      </c>
      <c r="D898" s="635"/>
      <c r="E898" s="635" t="s">
        <v>1494</v>
      </c>
      <c r="F898" s="465" t="s">
        <v>118</v>
      </c>
      <c r="G898" s="466">
        <v>0</v>
      </c>
      <c r="H898" s="466">
        <v>2.509</v>
      </c>
      <c r="I898" s="467">
        <v>0</v>
      </c>
      <c r="J898" s="468">
        <v>2.509</v>
      </c>
    </row>
    <row r="899" spans="1:10" ht="12.75" outlineLevel="2">
      <c r="A899" s="645">
        <v>2141127174</v>
      </c>
      <c r="B899" s="635" t="s">
        <v>74</v>
      </c>
      <c r="C899" s="635" t="s">
        <v>1427</v>
      </c>
      <c r="D899" s="635"/>
      <c r="E899" s="635" t="s">
        <v>1494</v>
      </c>
      <c r="F899" s="465" t="s">
        <v>473</v>
      </c>
      <c r="G899" s="466">
        <v>0</v>
      </c>
      <c r="H899" s="466">
        <v>0.081</v>
      </c>
      <c r="I899" s="467">
        <v>0.07</v>
      </c>
      <c r="J899" s="468">
        <v>0</v>
      </c>
    </row>
    <row r="900" spans="1:10" ht="12.75" outlineLevel="2">
      <c r="A900" s="645">
        <v>2141127174</v>
      </c>
      <c r="B900" s="635" t="s">
        <v>74</v>
      </c>
      <c r="C900" s="635" t="s">
        <v>1427</v>
      </c>
      <c r="D900" s="635"/>
      <c r="E900" s="635" t="s">
        <v>1494</v>
      </c>
      <c r="F900" s="465" t="s">
        <v>118</v>
      </c>
      <c r="G900" s="466">
        <v>0</v>
      </c>
      <c r="H900" s="466">
        <v>3.022</v>
      </c>
      <c r="I900" s="467">
        <v>0</v>
      </c>
      <c r="J900" s="468">
        <v>3.022</v>
      </c>
    </row>
    <row r="901" spans="1:10" ht="12.75" outlineLevel="2">
      <c r="A901" s="645">
        <v>2141127175</v>
      </c>
      <c r="B901" s="635" t="s">
        <v>75</v>
      </c>
      <c r="C901" s="635" t="s">
        <v>1427</v>
      </c>
      <c r="D901" s="635"/>
      <c r="E901" s="635" t="s">
        <v>1494</v>
      </c>
      <c r="F901" s="465" t="s">
        <v>473</v>
      </c>
      <c r="G901" s="466">
        <v>0</v>
      </c>
      <c r="H901" s="466">
        <v>0.081</v>
      </c>
      <c r="I901" s="467">
        <v>0.071</v>
      </c>
      <c r="J901" s="468">
        <v>0</v>
      </c>
    </row>
    <row r="902" spans="1:10" ht="12.75" outlineLevel="2">
      <c r="A902" s="645">
        <v>2141127176</v>
      </c>
      <c r="B902" s="635" t="s">
        <v>76</v>
      </c>
      <c r="C902" s="635" t="s">
        <v>1427</v>
      </c>
      <c r="D902" s="635"/>
      <c r="E902" s="635" t="s">
        <v>1494</v>
      </c>
      <c r="F902" s="465" t="s">
        <v>473</v>
      </c>
      <c r="G902" s="466">
        <v>0</v>
      </c>
      <c r="H902" s="466">
        <v>0.081</v>
      </c>
      <c r="I902" s="467">
        <v>0.07</v>
      </c>
      <c r="J902" s="468">
        <v>0</v>
      </c>
    </row>
    <row r="903" spans="1:10" ht="12.75" outlineLevel="2">
      <c r="A903" s="645">
        <v>2141127176</v>
      </c>
      <c r="B903" s="635" t="s">
        <v>76</v>
      </c>
      <c r="C903" s="635" t="s">
        <v>1427</v>
      </c>
      <c r="D903" s="635"/>
      <c r="E903" s="635" t="s">
        <v>1494</v>
      </c>
      <c r="F903" s="465" t="s">
        <v>118</v>
      </c>
      <c r="G903" s="466">
        <v>0</v>
      </c>
      <c r="H903" s="466">
        <v>3.172</v>
      </c>
      <c r="I903" s="467">
        <v>0</v>
      </c>
      <c r="J903" s="468">
        <v>3.172</v>
      </c>
    </row>
    <row r="904" spans="1:10" ht="12.75" outlineLevel="2">
      <c r="A904" s="645">
        <v>2141127177</v>
      </c>
      <c r="B904" s="635" t="s">
        <v>77</v>
      </c>
      <c r="C904" s="635" t="s">
        <v>1427</v>
      </c>
      <c r="D904" s="635"/>
      <c r="E904" s="635" t="s">
        <v>1494</v>
      </c>
      <c r="F904" s="465" t="s">
        <v>473</v>
      </c>
      <c r="G904" s="466">
        <v>0</v>
      </c>
      <c r="H904" s="466">
        <v>0.081</v>
      </c>
      <c r="I904" s="467">
        <v>0.071</v>
      </c>
      <c r="J904" s="468">
        <v>0</v>
      </c>
    </row>
    <row r="905" spans="1:10" ht="12.75" outlineLevel="2">
      <c r="A905" s="645">
        <v>2141127178</v>
      </c>
      <c r="B905" s="635" t="s">
        <v>78</v>
      </c>
      <c r="C905" s="635" t="s">
        <v>1427</v>
      </c>
      <c r="D905" s="635"/>
      <c r="E905" s="635" t="s">
        <v>1494</v>
      </c>
      <c r="F905" s="465" t="s">
        <v>473</v>
      </c>
      <c r="G905" s="466">
        <v>0</v>
      </c>
      <c r="H905" s="466">
        <v>0.081</v>
      </c>
      <c r="I905" s="467">
        <v>0.07</v>
      </c>
      <c r="J905" s="468">
        <v>0</v>
      </c>
    </row>
    <row r="906" spans="1:10" ht="12.75" outlineLevel="2">
      <c r="A906" s="645">
        <v>2141127178</v>
      </c>
      <c r="B906" s="635" t="s">
        <v>78</v>
      </c>
      <c r="C906" s="635" t="s">
        <v>1427</v>
      </c>
      <c r="D906" s="635"/>
      <c r="E906" s="635" t="s">
        <v>1494</v>
      </c>
      <c r="F906" s="465" t="s">
        <v>118</v>
      </c>
      <c r="G906" s="466">
        <v>0</v>
      </c>
      <c r="H906" s="466">
        <v>4.416</v>
      </c>
      <c r="I906" s="467">
        <v>1.984</v>
      </c>
      <c r="J906" s="468">
        <v>2.432</v>
      </c>
    </row>
    <row r="907" spans="1:10" ht="12.75" outlineLevel="2">
      <c r="A907" s="645">
        <v>2141127182</v>
      </c>
      <c r="B907" s="635" t="s">
        <v>79</v>
      </c>
      <c r="C907" s="635" t="s">
        <v>1427</v>
      </c>
      <c r="D907" s="635"/>
      <c r="E907" s="635" t="s">
        <v>1494</v>
      </c>
      <c r="F907" s="465" t="s">
        <v>473</v>
      </c>
      <c r="G907" s="466">
        <v>0</v>
      </c>
      <c r="H907" s="466">
        <v>0.081</v>
      </c>
      <c r="I907" s="467">
        <v>0.071</v>
      </c>
      <c r="J907" s="468">
        <v>0</v>
      </c>
    </row>
    <row r="908" spans="1:10" ht="12.75" outlineLevel="2">
      <c r="A908" s="645">
        <v>2141127182</v>
      </c>
      <c r="B908" s="635" t="s">
        <v>79</v>
      </c>
      <c r="C908" s="635" t="s">
        <v>1427</v>
      </c>
      <c r="D908" s="635"/>
      <c r="E908" s="635" t="s">
        <v>1494</v>
      </c>
      <c r="F908" s="465" t="s">
        <v>118</v>
      </c>
      <c r="G908" s="466">
        <v>0</v>
      </c>
      <c r="H908" s="466">
        <v>2.789</v>
      </c>
      <c r="I908" s="467">
        <v>0</v>
      </c>
      <c r="J908" s="468">
        <v>2.789</v>
      </c>
    </row>
    <row r="909" spans="1:10" ht="12.75" outlineLevel="2">
      <c r="A909" s="645">
        <v>2141127183</v>
      </c>
      <c r="B909" s="635" t="s">
        <v>80</v>
      </c>
      <c r="C909" s="635" t="s">
        <v>1427</v>
      </c>
      <c r="D909" s="635"/>
      <c r="E909" s="635" t="s">
        <v>1494</v>
      </c>
      <c r="F909" s="465" t="s">
        <v>473</v>
      </c>
      <c r="G909" s="466">
        <v>0</v>
      </c>
      <c r="H909" s="466">
        <v>0.081</v>
      </c>
      <c r="I909" s="467">
        <v>0.07</v>
      </c>
      <c r="J909" s="468">
        <v>0</v>
      </c>
    </row>
    <row r="910" spans="1:10" ht="12.75" outlineLevel="2">
      <c r="A910" s="645">
        <v>2141127183</v>
      </c>
      <c r="B910" s="635" t="s">
        <v>80</v>
      </c>
      <c r="C910" s="635" t="s">
        <v>1427</v>
      </c>
      <c r="D910" s="635"/>
      <c r="E910" s="635" t="s">
        <v>1494</v>
      </c>
      <c r="F910" s="465" t="s">
        <v>118</v>
      </c>
      <c r="G910" s="466">
        <v>0</v>
      </c>
      <c r="H910" s="466">
        <v>2.355</v>
      </c>
      <c r="I910" s="467">
        <v>0</v>
      </c>
      <c r="J910" s="468">
        <v>2.355</v>
      </c>
    </row>
    <row r="911" spans="1:10" ht="12.75" outlineLevel="2">
      <c r="A911" s="645">
        <v>2141127184</v>
      </c>
      <c r="B911" s="635" t="s">
        <v>81</v>
      </c>
      <c r="C911" s="635" t="s">
        <v>1427</v>
      </c>
      <c r="D911" s="635"/>
      <c r="E911" s="635" t="s">
        <v>1494</v>
      </c>
      <c r="F911" s="465" t="s">
        <v>473</v>
      </c>
      <c r="G911" s="466">
        <v>0</v>
      </c>
      <c r="H911" s="466">
        <v>0.081</v>
      </c>
      <c r="I911" s="467">
        <v>0.071</v>
      </c>
      <c r="J911" s="468">
        <v>0</v>
      </c>
    </row>
    <row r="912" spans="1:10" ht="12.75" outlineLevel="2">
      <c r="A912" s="645">
        <v>2141127184</v>
      </c>
      <c r="B912" s="635" t="s">
        <v>81</v>
      </c>
      <c r="C912" s="635" t="s">
        <v>1427</v>
      </c>
      <c r="D912" s="635"/>
      <c r="E912" s="635" t="s">
        <v>1494</v>
      </c>
      <c r="F912" s="465" t="s">
        <v>118</v>
      </c>
      <c r="G912" s="466">
        <v>0</v>
      </c>
      <c r="H912" s="466">
        <v>1.309</v>
      </c>
      <c r="I912" s="467">
        <v>0</v>
      </c>
      <c r="J912" s="468">
        <v>1.309</v>
      </c>
    </row>
    <row r="913" spans="1:10" ht="12.75" outlineLevel="2">
      <c r="A913" s="645">
        <v>2141127187</v>
      </c>
      <c r="B913" s="635" t="s">
        <v>82</v>
      </c>
      <c r="C913" s="635" t="s">
        <v>1427</v>
      </c>
      <c r="D913" s="635"/>
      <c r="E913" s="635" t="s">
        <v>1494</v>
      </c>
      <c r="F913" s="465" t="s">
        <v>473</v>
      </c>
      <c r="G913" s="466">
        <v>0</v>
      </c>
      <c r="H913" s="466">
        <v>0.081</v>
      </c>
      <c r="I913" s="467">
        <v>0.07</v>
      </c>
      <c r="J913" s="468">
        <v>0</v>
      </c>
    </row>
    <row r="914" spans="1:10" ht="12.75" outlineLevel="2">
      <c r="A914" s="645">
        <v>2141127187</v>
      </c>
      <c r="B914" s="635" t="s">
        <v>82</v>
      </c>
      <c r="C914" s="635" t="s">
        <v>1427</v>
      </c>
      <c r="D914" s="635"/>
      <c r="E914" s="635" t="s">
        <v>1494</v>
      </c>
      <c r="F914" s="465" t="s">
        <v>118</v>
      </c>
      <c r="G914" s="466">
        <v>0</v>
      </c>
      <c r="H914" s="466">
        <v>3.392</v>
      </c>
      <c r="I914" s="467">
        <v>0</v>
      </c>
      <c r="J914" s="468">
        <v>3.392</v>
      </c>
    </row>
    <row r="915" spans="1:10" ht="12.75" outlineLevel="2">
      <c r="A915" s="645">
        <v>2141127189</v>
      </c>
      <c r="B915" s="635" t="s">
        <v>83</v>
      </c>
      <c r="C915" s="635" t="s">
        <v>1425</v>
      </c>
      <c r="D915" s="635"/>
      <c r="E915" s="635" t="s">
        <v>1494</v>
      </c>
      <c r="F915" s="465" t="s">
        <v>473</v>
      </c>
      <c r="G915" s="466">
        <v>0</v>
      </c>
      <c r="H915" s="466">
        <v>0.2</v>
      </c>
      <c r="I915" s="467">
        <v>0.196</v>
      </c>
      <c r="J915" s="468">
        <v>0</v>
      </c>
    </row>
    <row r="916" spans="1:10" ht="12.75" outlineLevel="2">
      <c r="A916" s="645">
        <v>2141127189</v>
      </c>
      <c r="B916" s="635" t="s">
        <v>83</v>
      </c>
      <c r="C916" s="635" t="s">
        <v>1425</v>
      </c>
      <c r="D916" s="635"/>
      <c r="E916" s="635" t="s">
        <v>1494</v>
      </c>
      <c r="F916" s="465" t="s">
        <v>118</v>
      </c>
      <c r="G916" s="466">
        <v>0</v>
      </c>
      <c r="H916" s="466">
        <v>3.241</v>
      </c>
      <c r="I916" s="467">
        <v>3.239</v>
      </c>
      <c r="J916" s="468">
        <v>0</v>
      </c>
    </row>
    <row r="917" spans="1:10" ht="12.75" outlineLevel="2">
      <c r="A917" s="645">
        <v>2141127190</v>
      </c>
      <c r="B917" s="635" t="s">
        <v>84</v>
      </c>
      <c r="C917" s="635" t="s">
        <v>1425</v>
      </c>
      <c r="D917" s="635"/>
      <c r="E917" s="635" t="s">
        <v>1494</v>
      </c>
      <c r="F917" s="465" t="s">
        <v>473</v>
      </c>
      <c r="G917" s="466">
        <v>0</v>
      </c>
      <c r="H917" s="466">
        <v>0.409</v>
      </c>
      <c r="I917" s="467">
        <v>0.407</v>
      </c>
      <c r="J917" s="468">
        <v>0</v>
      </c>
    </row>
    <row r="918" spans="1:10" ht="12.75" outlineLevel="2">
      <c r="A918" s="645">
        <v>2141127190</v>
      </c>
      <c r="B918" s="635" t="s">
        <v>84</v>
      </c>
      <c r="C918" s="635" t="s">
        <v>1425</v>
      </c>
      <c r="D918" s="635"/>
      <c r="E918" s="635" t="s">
        <v>1494</v>
      </c>
      <c r="F918" s="465" t="s">
        <v>118</v>
      </c>
      <c r="G918" s="466">
        <v>0</v>
      </c>
      <c r="H918" s="466">
        <v>0.544</v>
      </c>
      <c r="I918" s="467">
        <v>0.42</v>
      </c>
      <c r="J918" s="468">
        <v>0</v>
      </c>
    </row>
    <row r="919" spans="1:10" ht="12.75" outlineLevel="2">
      <c r="A919" s="645">
        <v>2141127190</v>
      </c>
      <c r="B919" s="635" t="s">
        <v>84</v>
      </c>
      <c r="C919" s="635" t="s">
        <v>1425</v>
      </c>
      <c r="D919" s="635"/>
      <c r="E919" s="635" t="s">
        <v>1494</v>
      </c>
      <c r="F919" s="465" t="s">
        <v>39</v>
      </c>
      <c r="G919" s="466">
        <v>0</v>
      </c>
      <c r="H919" s="466">
        <v>0</v>
      </c>
      <c r="I919" s="467">
        <v>3.681</v>
      </c>
      <c r="J919" s="468">
        <v>0</v>
      </c>
    </row>
    <row r="920" spans="1:10" ht="12.75" outlineLevel="2">
      <c r="A920" s="645">
        <v>2141127191</v>
      </c>
      <c r="B920" s="635" t="s">
        <v>85</v>
      </c>
      <c r="C920" s="635" t="s">
        <v>1425</v>
      </c>
      <c r="D920" s="635"/>
      <c r="E920" s="635" t="s">
        <v>1494</v>
      </c>
      <c r="F920" s="465" t="s">
        <v>473</v>
      </c>
      <c r="G920" s="466">
        <v>0</v>
      </c>
      <c r="H920" s="466">
        <v>0.138</v>
      </c>
      <c r="I920" s="467">
        <v>0.137</v>
      </c>
      <c r="J920" s="468">
        <v>0</v>
      </c>
    </row>
    <row r="921" spans="1:10" ht="12.75" outlineLevel="2">
      <c r="A921" s="645">
        <v>2141127191</v>
      </c>
      <c r="B921" s="635" t="s">
        <v>85</v>
      </c>
      <c r="C921" s="635" t="s">
        <v>1425</v>
      </c>
      <c r="D921" s="635"/>
      <c r="E921" s="635" t="s">
        <v>1494</v>
      </c>
      <c r="F921" s="465" t="s">
        <v>118</v>
      </c>
      <c r="G921" s="466">
        <v>0</v>
      </c>
      <c r="H921" s="466">
        <v>3.631</v>
      </c>
      <c r="I921" s="467">
        <v>3.384</v>
      </c>
      <c r="J921" s="468">
        <v>0.247</v>
      </c>
    </row>
    <row r="922" spans="1:10" ht="12.75" outlineLevel="2">
      <c r="A922" s="645">
        <v>2141127192</v>
      </c>
      <c r="B922" s="635" t="s">
        <v>86</v>
      </c>
      <c r="C922" s="635" t="s">
        <v>1425</v>
      </c>
      <c r="D922" s="635"/>
      <c r="E922" s="635" t="s">
        <v>1494</v>
      </c>
      <c r="F922" s="465" t="s">
        <v>473</v>
      </c>
      <c r="G922" s="466">
        <v>0</v>
      </c>
      <c r="H922" s="466">
        <v>0.081</v>
      </c>
      <c r="I922" s="467">
        <v>0.08</v>
      </c>
      <c r="J922" s="468">
        <v>0</v>
      </c>
    </row>
    <row r="923" spans="1:10" ht="12.75" outlineLevel="2">
      <c r="A923" s="645">
        <v>2141127192</v>
      </c>
      <c r="B923" s="635" t="s">
        <v>86</v>
      </c>
      <c r="C923" s="635" t="s">
        <v>1425</v>
      </c>
      <c r="D923" s="635"/>
      <c r="E923" s="635" t="s">
        <v>1494</v>
      </c>
      <c r="F923" s="465" t="s">
        <v>118</v>
      </c>
      <c r="G923" s="466">
        <v>0</v>
      </c>
      <c r="H923" s="466">
        <v>1.638</v>
      </c>
      <c r="I923" s="467">
        <v>1.63</v>
      </c>
      <c r="J923" s="468">
        <v>0.008</v>
      </c>
    </row>
    <row r="924" spans="1:10" ht="12.75" outlineLevel="2">
      <c r="A924" s="645">
        <v>2141127193</v>
      </c>
      <c r="B924" s="635" t="s">
        <v>87</v>
      </c>
      <c r="C924" s="635" t="s">
        <v>1425</v>
      </c>
      <c r="D924" s="635"/>
      <c r="E924" s="635" t="s">
        <v>1494</v>
      </c>
      <c r="F924" s="465" t="s">
        <v>473</v>
      </c>
      <c r="G924" s="466">
        <v>0</v>
      </c>
      <c r="H924" s="466">
        <v>0.136</v>
      </c>
      <c r="I924" s="467">
        <v>0.136</v>
      </c>
      <c r="J924" s="468">
        <v>0</v>
      </c>
    </row>
    <row r="925" spans="1:10" ht="12.75" outlineLevel="2">
      <c r="A925" s="645">
        <v>2141127193</v>
      </c>
      <c r="B925" s="635" t="s">
        <v>87</v>
      </c>
      <c r="C925" s="635" t="s">
        <v>1425</v>
      </c>
      <c r="D925" s="635"/>
      <c r="E925" s="635" t="s">
        <v>1494</v>
      </c>
      <c r="F925" s="465" t="s">
        <v>118</v>
      </c>
      <c r="G925" s="466">
        <v>0</v>
      </c>
      <c r="H925" s="466">
        <v>1.827</v>
      </c>
      <c r="I925" s="467">
        <v>1.706</v>
      </c>
      <c r="J925" s="468">
        <v>0.121</v>
      </c>
    </row>
    <row r="926" spans="1:10" ht="12.75" outlineLevel="2">
      <c r="A926" s="645">
        <v>2141127194</v>
      </c>
      <c r="B926" s="635" t="s">
        <v>88</v>
      </c>
      <c r="C926" s="635" t="s">
        <v>1425</v>
      </c>
      <c r="D926" s="635"/>
      <c r="E926" s="635" t="s">
        <v>1494</v>
      </c>
      <c r="F926" s="465" t="s">
        <v>118</v>
      </c>
      <c r="G926" s="466">
        <v>0</v>
      </c>
      <c r="H926" s="466">
        <v>0.013</v>
      </c>
      <c r="I926" s="467">
        <v>0.013</v>
      </c>
      <c r="J926" s="468">
        <v>0</v>
      </c>
    </row>
    <row r="927" spans="1:10" ht="12.75" outlineLevel="2">
      <c r="A927" s="645">
        <v>2141127195</v>
      </c>
      <c r="B927" s="635" t="s">
        <v>89</v>
      </c>
      <c r="C927" s="635" t="s">
        <v>1425</v>
      </c>
      <c r="D927" s="635"/>
      <c r="E927" s="635" t="s">
        <v>1494</v>
      </c>
      <c r="F927" s="465" t="s">
        <v>473</v>
      </c>
      <c r="G927" s="466">
        <v>0</v>
      </c>
      <c r="H927" s="466">
        <v>0.077</v>
      </c>
      <c r="I927" s="467">
        <v>0.076</v>
      </c>
      <c r="J927" s="468">
        <v>0</v>
      </c>
    </row>
    <row r="928" spans="1:10" ht="12.75" outlineLevel="2">
      <c r="A928" s="645">
        <v>2141127195</v>
      </c>
      <c r="B928" s="635" t="s">
        <v>89</v>
      </c>
      <c r="C928" s="635" t="s">
        <v>1425</v>
      </c>
      <c r="D928" s="635"/>
      <c r="E928" s="635" t="s">
        <v>1494</v>
      </c>
      <c r="F928" s="465" t="s">
        <v>118</v>
      </c>
      <c r="G928" s="466">
        <v>0</v>
      </c>
      <c r="H928" s="466">
        <v>2.891</v>
      </c>
      <c r="I928" s="467">
        <v>2.889</v>
      </c>
      <c r="J928" s="468">
        <v>0</v>
      </c>
    </row>
    <row r="929" spans="1:10" ht="12.75" outlineLevel="2">
      <c r="A929" s="645">
        <v>2141127196</v>
      </c>
      <c r="B929" s="635" t="s">
        <v>90</v>
      </c>
      <c r="C929" s="635" t="s">
        <v>1425</v>
      </c>
      <c r="D929" s="635"/>
      <c r="E929" s="635" t="s">
        <v>1494</v>
      </c>
      <c r="F929" s="465" t="s">
        <v>473</v>
      </c>
      <c r="G929" s="466">
        <v>0</v>
      </c>
      <c r="H929" s="466">
        <v>0.132</v>
      </c>
      <c r="I929" s="467">
        <v>0.13</v>
      </c>
      <c r="J929" s="468">
        <v>0</v>
      </c>
    </row>
    <row r="930" spans="1:10" ht="12.75" outlineLevel="2">
      <c r="A930" s="645">
        <v>2141127196</v>
      </c>
      <c r="B930" s="635" t="s">
        <v>90</v>
      </c>
      <c r="C930" s="635" t="s">
        <v>1425</v>
      </c>
      <c r="D930" s="635"/>
      <c r="E930" s="635" t="s">
        <v>1494</v>
      </c>
      <c r="F930" s="465" t="s">
        <v>118</v>
      </c>
      <c r="G930" s="466">
        <v>0</v>
      </c>
      <c r="H930" s="466">
        <v>2.605</v>
      </c>
      <c r="I930" s="467">
        <v>2.523</v>
      </c>
      <c r="J930" s="468">
        <v>0.082</v>
      </c>
    </row>
    <row r="931" spans="1:10" ht="12.75" outlineLevel="2">
      <c r="A931" s="645">
        <v>2141127197</v>
      </c>
      <c r="B931" s="635" t="s">
        <v>91</v>
      </c>
      <c r="C931" s="635" t="s">
        <v>1425</v>
      </c>
      <c r="D931" s="635"/>
      <c r="E931" s="635" t="s">
        <v>1494</v>
      </c>
      <c r="F931" s="465" t="s">
        <v>473</v>
      </c>
      <c r="G931" s="466">
        <v>0</v>
      </c>
      <c r="H931" s="466">
        <v>0.17</v>
      </c>
      <c r="I931" s="467">
        <v>0.168</v>
      </c>
      <c r="J931" s="468">
        <v>0</v>
      </c>
    </row>
    <row r="932" spans="1:10" ht="12.75" outlineLevel="2">
      <c r="A932" s="645">
        <v>2141127197</v>
      </c>
      <c r="B932" s="635" t="s">
        <v>91</v>
      </c>
      <c r="C932" s="635" t="s">
        <v>1425</v>
      </c>
      <c r="D932" s="635"/>
      <c r="E932" s="635" t="s">
        <v>1494</v>
      </c>
      <c r="F932" s="465" t="s">
        <v>118</v>
      </c>
      <c r="G932" s="466">
        <v>0</v>
      </c>
      <c r="H932" s="466">
        <v>4.491</v>
      </c>
      <c r="I932" s="467">
        <v>4.373</v>
      </c>
      <c r="J932" s="468">
        <v>0.118</v>
      </c>
    </row>
    <row r="933" spans="1:10" ht="12.75" outlineLevel="2">
      <c r="A933" s="645">
        <v>2141127199</v>
      </c>
      <c r="B933" s="635" t="s">
        <v>92</v>
      </c>
      <c r="C933" s="635" t="s">
        <v>1425</v>
      </c>
      <c r="D933" s="635"/>
      <c r="E933" s="635" t="s">
        <v>1494</v>
      </c>
      <c r="F933" s="465" t="s">
        <v>473</v>
      </c>
      <c r="G933" s="466">
        <v>0</v>
      </c>
      <c r="H933" s="466">
        <v>0.113</v>
      </c>
      <c r="I933" s="467">
        <v>0.112</v>
      </c>
      <c r="J933" s="468">
        <v>0</v>
      </c>
    </row>
    <row r="934" spans="1:10" ht="12.75" outlineLevel="2">
      <c r="A934" s="645">
        <v>2141127199</v>
      </c>
      <c r="B934" s="635" t="s">
        <v>92</v>
      </c>
      <c r="C934" s="635" t="s">
        <v>1425</v>
      </c>
      <c r="D934" s="635"/>
      <c r="E934" s="635" t="s">
        <v>1494</v>
      </c>
      <c r="F934" s="465" t="s">
        <v>118</v>
      </c>
      <c r="G934" s="466">
        <v>0</v>
      </c>
      <c r="H934" s="466">
        <v>1.873</v>
      </c>
      <c r="I934" s="467">
        <v>1.872</v>
      </c>
      <c r="J934" s="468">
        <v>0</v>
      </c>
    </row>
    <row r="935" spans="1:10" ht="12.75" outlineLevel="2">
      <c r="A935" s="645">
        <v>2141127200</v>
      </c>
      <c r="B935" s="635" t="s">
        <v>93</v>
      </c>
      <c r="C935" s="635" t="s">
        <v>1425</v>
      </c>
      <c r="D935" s="635"/>
      <c r="E935" s="635" t="s">
        <v>1494</v>
      </c>
      <c r="F935" s="465" t="s">
        <v>118</v>
      </c>
      <c r="G935" s="466">
        <v>0</v>
      </c>
      <c r="H935" s="466">
        <v>0.035</v>
      </c>
      <c r="I935" s="467">
        <v>0.02</v>
      </c>
      <c r="J935" s="468">
        <v>0.015</v>
      </c>
    </row>
    <row r="936" spans="1:10" ht="12.75" outlineLevel="2">
      <c r="A936" s="645">
        <v>2141127202</v>
      </c>
      <c r="B936" s="635" t="s">
        <v>94</v>
      </c>
      <c r="C936" s="635" t="s">
        <v>1425</v>
      </c>
      <c r="D936" s="635"/>
      <c r="E936" s="635" t="s">
        <v>1494</v>
      </c>
      <c r="F936" s="465" t="s">
        <v>473</v>
      </c>
      <c r="G936" s="466">
        <v>0</v>
      </c>
      <c r="H936" s="466">
        <v>0.09</v>
      </c>
      <c r="I936" s="467">
        <v>0.089</v>
      </c>
      <c r="J936" s="468">
        <v>0</v>
      </c>
    </row>
    <row r="937" spans="1:10" ht="12.75" outlineLevel="2">
      <c r="A937" s="645">
        <v>2141127202</v>
      </c>
      <c r="B937" s="635" t="s">
        <v>94</v>
      </c>
      <c r="C937" s="635" t="s">
        <v>1425</v>
      </c>
      <c r="D937" s="635"/>
      <c r="E937" s="635" t="s">
        <v>1494</v>
      </c>
      <c r="F937" s="465" t="s">
        <v>118</v>
      </c>
      <c r="G937" s="466">
        <v>0</v>
      </c>
      <c r="H937" s="466">
        <v>1.331</v>
      </c>
      <c r="I937" s="467">
        <v>1.066</v>
      </c>
      <c r="J937" s="468">
        <v>0.265</v>
      </c>
    </row>
    <row r="938" spans="1:10" ht="12.75" outlineLevel="2">
      <c r="A938" s="645">
        <v>2141127203</v>
      </c>
      <c r="B938" s="635" t="s">
        <v>980</v>
      </c>
      <c r="C938" s="635" t="s">
        <v>1425</v>
      </c>
      <c r="D938" s="635"/>
      <c r="E938" s="635" t="s">
        <v>1494</v>
      </c>
      <c r="F938" s="465" t="s">
        <v>473</v>
      </c>
      <c r="G938" s="466">
        <v>0</v>
      </c>
      <c r="H938" s="466">
        <v>0.148</v>
      </c>
      <c r="I938" s="467">
        <v>0.1</v>
      </c>
      <c r="J938" s="468">
        <v>0.048</v>
      </c>
    </row>
    <row r="939" spans="1:10" ht="12.75" outlineLevel="2">
      <c r="A939" s="645">
        <v>2141127203</v>
      </c>
      <c r="B939" s="635" t="s">
        <v>980</v>
      </c>
      <c r="C939" s="635" t="s">
        <v>1425</v>
      </c>
      <c r="D939" s="635"/>
      <c r="E939" s="635" t="s">
        <v>1494</v>
      </c>
      <c r="F939" s="465" t="s">
        <v>118</v>
      </c>
      <c r="G939" s="466">
        <v>0</v>
      </c>
      <c r="H939" s="466">
        <v>2.31</v>
      </c>
      <c r="I939" s="467">
        <v>2.12</v>
      </c>
      <c r="J939" s="468">
        <v>0.19</v>
      </c>
    </row>
    <row r="940" spans="1:10" ht="12.75" outlineLevel="2">
      <c r="A940" s="645">
        <v>2141127204</v>
      </c>
      <c r="B940" s="635" t="s">
        <v>981</v>
      </c>
      <c r="C940" s="635" t="s">
        <v>791</v>
      </c>
      <c r="D940" s="635"/>
      <c r="E940" s="635" t="s">
        <v>1494</v>
      </c>
      <c r="F940" s="465" t="s">
        <v>473</v>
      </c>
      <c r="G940" s="466">
        <v>0</v>
      </c>
      <c r="H940" s="466">
        <v>0.183</v>
      </c>
      <c r="I940" s="467">
        <v>0.155</v>
      </c>
      <c r="J940" s="468">
        <v>0</v>
      </c>
    </row>
    <row r="941" spans="1:10" ht="12.75" outlineLevel="2">
      <c r="A941" s="645">
        <v>2141127204</v>
      </c>
      <c r="B941" s="635" t="s">
        <v>981</v>
      </c>
      <c r="C941" s="635" t="s">
        <v>791</v>
      </c>
      <c r="D941" s="635"/>
      <c r="E941" s="635" t="s">
        <v>1494</v>
      </c>
      <c r="F941" s="465" t="s">
        <v>118</v>
      </c>
      <c r="G941" s="466">
        <v>0</v>
      </c>
      <c r="H941" s="466">
        <v>2.442</v>
      </c>
      <c r="I941" s="467">
        <v>2.369</v>
      </c>
      <c r="J941" s="468">
        <v>0.073</v>
      </c>
    </row>
    <row r="942" spans="1:10" ht="12.75" outlineLevel="2">
      <c r="A942" s="645">
        <v>2141127204</v>
      </c>
      <c r="B942" s="635" t="s">
        <v>981</v>
      </c>
      <c r="C942" s="635" t="s">
        <v>791</v>
      </c>
      <c r="D942" s="635"/>
      <c r="E942" s="635" t="s">
        <v>1494</v>
      </c>
      <c r="F942" s="465" t="s">
        <v>39</v>
      </c>
      <c r="G942" s="466">
        <v>0</v>
      </c>
      <c r="H942" s="466">
        <v>0</v>
      </c>
      <c r="I942" s="467">
        <v>0.51</v>
      </c>
      <c r="J942" s="468">
        <v>0</v>
      </c>
    </row>
    <row r="943" spans="1:10" ht="12.75" outlineLevel="2">
      <c r="A943" s="645">
        <v>2141127205</v>
      </c>
      <c r="B943" s="635" t="s">
        <v>982</v>
      </c>
      <c r="C943" s="635" t="s">
        <v>791</v>
      </c>
      <c r="D943" s="635"/>
      <c r="E943" s="635" t="s">
        <v>1494</v>
      </c>
      <c r="F943" s="465" t="s">
        <v>473</v>
      </c>
      <c r="G943" s="466">
        <v>0</v>
      </c>
      <c r="H943" s="466">
        <v>0.089</v>
      </c>
      <c r="I943" s="467">
        <v>0.056</v>
      </c>
      <c r="J943" s="468">
        <v>0</v>
      </c>
    </row>
    <row r="944" spans="1:10" ht="12.75" outlineLevel="2">
      <c r="A944" s="645">
        <v>2141127205</v>
      </c>
      <c r="B944" s="635" t="s">
        <v>982</v>
      </c>
      <c r="C944" s="635" t="s">
        <v>791</v>
      </c>
      <c r="D944" s="635"/>
      <c r="E944" s="635" t="s">
        <v>1494</v>
      </c>
      <c r="F944" s="465" t="s">
        <v>118</v>
      </c>
      <c r="G944" s="466">
        <v>0</v>
      </c>
      <c r="H944" s="466">
        <v>1.177</v>
      </c>
      <c r="I944" s="467">
        <v>0.794</v>
      </c>
      <c r="J944" s="468">
        <v>0.383</v>
      </c>
    </row>
    <row r="945" spans="1:10" ht="12.75" outlineLevel="2">
      <c r="A945" s="645">
        <v>2141127205</v>
      </c>
      <c r="B945" s="635" t="s">
        <v>982</v>
      </c>
      <c r="C945" s="635" t="s">
        <v>791</v>
      </c>
      <c r="D945" s="635"/>
      <c r="E945" s="635" t="s">
        <v>1494</v>
      </c>
      <c r="F945" s="465" t="s">
        <v>39</v>
      </c>
      <c r="G945" s="466">
        <v>0</v>
      </c>
      <c r="H945" s="466">
        <v>0</v>
      </c>
      <c r="I945" s="467">
        <v>0.51</v>
      </c>
      <c r="J945" s="468">
        <v>0</v>
      </c>
    </row>
    <row r="946" spans="1:10" ht="12.75" outlineLevel="2">
      <c r="A946" s="645">
        <v>2141127206</v>
      </c>
      <c r="B946" s="635" t="s">
        <v>983</v>
      </c>
      <c r="C946" s="635" t="s">
        <v>791</v>
      </c>
      <c r="D946" s="635"/>
      <c r="E946" s="635" t="s">
        <v>1494</v>
      </c>
      <c r="F946" s="465" t="s">
        <v>473</v>
      </c>
      <c r="G946" s="466">
        <v>0</v>
      </c>
      <c r="H946" s="466">
        <v>0.2</v>
      </c>
      <c r="I946" s="467">
        <v>0.084</v>
      </c>
      <c r="J946" s="468">
        <v>0</v>
      </c>
    </row>
    <row r="947" spans="1:10" ht="12.75" outlineLevel="2">
      <c r="A947" s="645">
        <v>2141127206</v>
      </c>
      <c r="B947" s="635" t="s">
        <v>983</v>
      </c>
      <c r="C947" s="635" t="s">
        <v>791</v>
      </c>
      <c r="D947" s="635"/>
      <c r="E947" s="635" t="s">
        <v>1494</v>
      </c>
      <c r="F947" s="465" t="s">
        <v>39</v>
      </c>
      <c r="G947" s="466">
        <v>0</v>
      </c>
      <c r="H947" s="466">
        <v>0</v>
      </c>
      <c r="I947" s="467">
        <v>3.063</v>
      </c>
      <c r="J947" s="468">
        <v>0</v>
      </c>
    </row>
    <row r="948" spans="1:10" ht="12.75" outlineLevel="2">
      <c r="A948" s="645">
        <v>2141127207</v>
      </c>
      <c r="B948" s="635" t="s">
        <v>984</v>
      </c>
      <c r="C948" s="635" t="s">
        <v>791</v>
      </c>
      <c r="D948" s="635"/>
      <c r="E948" s="635" t="s">
        <v>1494</v>
      </c>
      <c r="F948" s="465" t="s">
        <v>473</v>
      </c>
      <c r="G948" s="466">
        <v>0</v>
      </c>
      <c r="H948" s="466">
        <v>0.163</v>
      </c>
      <c r="I948" s="467">
        <v>0.162</v>
      </c>
      <c r="J948" s="468">
        <v>0</v>
      </c>
    </row>
    <row r="949" spans="1:10" ht="12.75" outlineLevel="2">
      <c r="A949" s="645">
        <v>2141127207</v>
      </c>
      <c r="B949" s="635" t="s">
        <v>984</v>
      </c>
      <c r="C949" s="635" t="s">
        <v>791</v>
      </c>
      <c r="D949" s="635"/>
      <c r="E949" s="635" t="s">
        <v>1494</v>
      </c>
      <c r="F949" s="465" t="s">
        <v>118</v>
      </c>
      <c r="G949" s="466">
        <v>0</v>
      </c>
      <c r="H949" s="466">
        <v>3.145</v>
      </c>
      <c r="I949" s="467">
        <v>3.132</v>
      </c>
      <c r="J949" s="468">
        <v>0.013</v>
      </c>
    </row>
    <row r="950" spans="1:10" ht="12.75" outlineLevel="2">
      <c r="A950" s="645">
        <v>2141127207</v>
      </c>
      <c r="B950" s="635" t="s">
        <v>984</v>
      </c>
      <c r="C950" s="635" t="s">
        <v>791</v>
      </c>
      <c r="D950" s="635"/>
      <c r="E950" s="635" t="s">
        <v>1494</v>
      </c>
      <c r="F950" s="465" t="s">
        <v>39</v>
      </c>
      <c r="G950" s="466">
        <v>0</v>
      </c>
      <c r="H950" s="466">
        <v>0</v>
      </c>
      <c r="I950" s="467">
        <v>0.51</v>
      </c>
      <c r="J950" s="468">
        <v>0</v>
      </c>
    </row>
    <row r="951" spans="1:10" ht="12.75" outlineLevel="2">
      <c r="A951" s="645">
        <v>2141127208</v>
      </c>
      <c r="B951" s="635" t="s">
        <v>985</v>
      </c>
      <c r="C951" s="635" t="s">
        <v>791</v>
      </c>
      <c r="D951" s="635"/>
      <c r="E951" s="635" t="s">
        <v>1494</v>
      </c>
      <c r="F951" s="465" t="s">
        <v>473</v>
      </c>
      <c r="G951" s="466">
        <v>0</v>
      </c>
      <c r="H951" s="466">
        <v>0.183</v>
      </c>
      <c r="I951" s="467">
        <v>0.152</v>
      </c>
      <c r="J951" s="468">
        <v>0</v>
      </c>
    </row>
    <row r="952" spans="1:10" ht="12.75" outlineLevel="2">
      <c r="A952" s="645">
        <v>2141127208</v>
      </c>
      <c r="B952" s="635" t="s">
        <v>985</v>
      </c>
      <c r="C952" s="635" t="s">
        <v>791</v>
      </c>
      <c r="D952" s="635"/>
      <c r="E952" s="635" t="s">
        <v>1494</v>
      </c>
      <c r="F952" s="465" t="s">
        <v>118</v>
      </c>
      <c r="G952" s="466">
        <v>0</v>
      </c>
      <c r="H952" s="466">
        <v>2.669</v>
      </c>
      <c r="I952" s="467">
        <v>2.438</v>
      </c>
      <c r="J952" s="468">
        <v>0.231</v>
      </c>
    </row>
    <row r="953" spans="1:10" ht="12.75" outlineLevel="2">
      <c r="A953" s="645">
        <v>2141127208</v>
      </c>
      <c r="B953" s="635" t="s">
        <v>985</v>
      </c>
      <c r="C953" s="635" t="s">
        <v>791</v>
      </c>
      <c r="D953" s="635"/>
      <c r="E953" s="635" t="s">
        <v>1494</v>
      </c>
      <c r="F953" s="465" t="s">
        <v>39</v>
      </c>
      <c r="G953" s="466">
        <v>0</v>
      </c>
      <c r="H953" s="466">
        <v>0</v>
      </c>
      <c r="I953" s="467">
        <v>0.51</v>
      </c>
      <c r="J953" s="468">
        <v>0</v>
      </c>
    </row>
    <row r="954" spans="1:10" ht="12.75" outlineLevel="2">
      <c r="A954" s="645">
        <v>2141127209</v>
      </c>
      <c r="B954" s="635" t="s">
        <v>986</v>
      </c>
      <c r="C954" s="635" t="s">
        <v>791</v>
      </c>
      <c r="D954" s="635"/>
      <c r="E954" s="635" t="s">
        <v>1494</v>
      </c>
      <c r="F954" s="465" t="s">
        <v>473</v>
      </c>
      <c r="G954" s="466">
        <v>0</v>
      </c>
      <c r="H954" s="466">
        <v>0.179</v>
      </c>
      <c r="I954" s="467">
        <v>0.122</v>
      </c>
      <c r="J954" s="468">
        <v>0</v>
      </c>
    </row>
    <row r="955" spans="1:10" ht="12.75" outlineLevel="2">
      <c r="A955" s="645">
        <v>2141127209</v>
      </c>
      <c r="B955" s="635" t="s">
        <v>986</v>
      </c>
      <c r="C955" s="635" t="s">
        <v>791</v>
      </c>
      <c r="D955" s="635"/>
      <c r="E955" s="635" t="s">
        <v>1494</v>
      </c>
      <c r="F955" s="465" t="s">
        <v>118</v>
      </c>
      <c r="G955" s="466">
        <v>0</v>
      </c>
      <c r="H955" s="466">
        <v>2.711</v>
      </c>
      <c r="I955" s="467">
        <v>2.567</v>
      </c>
      <c r="J955" s="468">
        <v>0.144</v>
      </c>
    </row>
    <row r="956" spans="1:10" ht="12.75" outlineLevel="2">
      <c r="A956" s="645">
        <v>2141127209</v>
      </c>
      <c r="B956" s="635" t="s">
        <v>986</v>
      </c>
      <c r="C956" s="635" t="s">
        <v>791</v>
      </c>
      <c r="D956" s="635"/>
      <c r="E956" s="635" t="s">
        <v>1494</v>
      </c>
      <c r="F956" s="465" t="s">
        <v>39</v>
      </c>
      <c r="G956" s="466">
        <v>0</v>
      </c>
      <c r="H956" s="466">
        <v>0</v>
      </c>
      <c r="I956" s="467">
        <v>0.51</v>
      </c>
      <c r="J956" s="468">
        <v>0</v>
      </c>
    </row>
    <row r="957" spans="1:10" ht="12.75" outlineLevel="2">
      <c r="A957" s="645">
        <v>2141127210</v>
      </c>
      <c r="B957" s="635" t="s">
        <v>987</v>
      </c>
      <c r="C957" s="635" t="s">
        <v>791</v>
      </c>
      <c r="D957" s="635"/>
      <c r="E957" s="635" t="s">
        <v>1494</v>
      </c>
      <c r="F957" s="465" t="s">
        <v>473</v>
      </c>
      <c r="G957" s="466">
        <v>0</v>
      </c>
      <c r="H957" s="466">
        <v>0.11</v>
      </c>
      <c r="I957" s="467">
        <v>0.109</v>
      </c>
      <c r="J957" s="468">
        <v>0</v>
      </c>
    </row>
    <row r="958" spans="1:10" ht="12.75" outlineLevel="2">
      <c r="A958" s="645">
        <v>2141127210</v>
      </c>
      <c r="B958" s="635" t="s">
        <v>987</v>
      </c>
      <c r="C958" s="635" t="s">
        <v>791</v>
      </c>
      <c r="D958" s="635"/>
      <c r="E958" s="635" t="s">
        <v>1494</v>
      </c>
      <c r="F958" s="465" t="s">
        <v>118</v>
      </c>
      <c r="G958" s="466">
        <v>0</v>
      </c>
      <c r="H958" s="466">
        <v>3.446</v>
      </c>
      <c r="I958" s="467">
        <v>3.385</v>
      </c>
      <c r="J958" s="468">
        <v>0</v>
      </c>
    </row>
    <row r="959" spans="1:10" ht="12.75" outlineLevel="2">
      <c r="A959" s="645">
        <v>2141127210</v>
      </c>
      <c r="B959" s="635" t="s">
        <v>987</v>
      </c>
      <c r="C959" s="635" t="s">
        <v>791</v>
      </c>
      <c r="D959" s="635"/>
      <c r="E959" s="635" t="s">
        <v>1494</v>
      </c>
      <c r="F959" s="465" t="s">
        <v>39</v>
      </c>
      <c r="G959" s="466">
        <v>0</v>
      </c>
      <c r="H959" s="466">
        <v>0</v>
      </c>
      <c r="I959" s="467">
        <v>0.51</v>
      </c>
      <c r="J959" s="468">
        <v>0</v>
      </c>
    </row>
    <row r="960" spans="1:10" ht="12.75" outlineLevel="2">
      <c r="A960" s="645">
        <v>2141127211</v>
      </c>
      <c r="B960" s="635" t="s">
        <v>988</v>
      </c>
      <c r="C960" s="635" t="s">
        <v>791</v>
      </c>
      <c r="D960" s="635"/>
      <c r="E960" s="635" t="s">
        <v>1494</v>
      </c>
      <c r="F960" s="465" t="s">
        <v>473</v>
      </c>
      <c r="G960" s="466">
        <v>0</v>
      </c>
      <c r="H960" s="466">
        <v>0.196</v>
      </c>
      <c r="I960" s="467">
        <v>0</v>
      </c>
      <c r="J960" s="468">
        <v>0.196</v>
      </c>
    </row>
    <row r="961" spans="1:10" ht="12.75" outlineLevel="2">
      <c r="A961" s="645">
        <v>2141127211</v>
      </c>
      <c r="B961" s="635" t="s">
        <v>988</v>
      </c>
      <c r="C961" s="635" t="s">
        <v>791</v>
      </c>
      <c r="D961" s="635"/>
      <c r="E961" s="635" t="s">
        <v>1494</v>
      </c>
      <c r="F961" s="465" t="s">
        <v>118</v>
      </c>
      <c r="G961" s="466">
        <v>0</v>
      </c>
      <c r="H961" s="466">
        <v>1.24</v>
      </c>
      <c r="I961" s="467">
        <v>0.421</v>
      </c>
      <c r="J961" s="468">
        <v>0.819</v>
      </c>
    </row>
    <row r="962" spans="1:10" ht="12.75" outlineLevel="2">
      <c r="A962" s="645">
        <v>2141127211</v>
      </c>
      <c r="B962" s="635" t="s">
        <v>988</v>
      </c>
      <c r="C962" s="635" t="s">
        <v>791</v>
      </c>
      <c r="D962" s="635"/>
      <c r="E962" s="635" t="s">
        <v>1494</v>
      </c>
      <c r="F962" s="465" t="s">
        <v>39</v>
      </c>
      <c r="G962" s="466">
        <v>0</v>
      </c>
      <c r="H962" s="466">
        <v>0</v>
      </c>
      <c r="I962" s="467">
        <v>0.53</v>
      </c>
      <c r="J962" s="468">
        <v>0</v>
      </c>
    </row>
    <row r="963" spans="1:10" ht="12.75" outlineLevel="2">
      <c r="A963" s="645">
        <v>2141127213</v>
      </c>
      <c r="B963" s="635" t="s">
        <v>989</v>
      </c>
      <c r="C963" s="635" t="s">
        <v>791</v>
      </c>
      <c r="D963" s="635"/>
      <c r="E963" s="635" t="s">
        <v>1494</v>
      </c>
      <c r="F963" s="465" t="s">
        <v>473</v>
      </c>
      <c r="G963" s="466">
        <v>0</v>
      </c>
      <c r="H963" s="466">
        <v>0.196</v>
      </c>
      <c r="I963" s="467">
        <v>0</v>
      </c>
      <c r="J963" s="468">
        <v>0.196</v>
      </c>
    </row>
    <row r="964" spans="1:10" ht="12.75" outlineLevel="2">
      <c r="A964" s="645">
        <v>2141127213</v>
      </c>
      <c r="B964" s="635" t="s">
        <v>989</v>
      </c>
      <c r="C964" s="635" t="s">
        <v>791</v>
      </c>
      <c r="D964" s="635"/>
      <c r="E964" s="635" t="s">
        <v>1494</v>
      </c>
      <c r="F964" s="465" t="s">
        <v>118</v>
      </c>
      <c r="G964" s="466">
        <v>0</v>
      </c>
      <c r="H964" s="466">
        <v>2.851</v>
      </c>
      <c r="I964" s="467">
        <v>0.947</v>
      </c>
      <c r="J964" s="468">
        <v>1.904</v>
      </c>
    </row>
    <row r="965" spans="1:10" ht="12.75" outlineLevel="2">
      <c r="A965" s="645">
        <v>2141127213</v>
      </c>
      <c r="B965" s="635" t="s">
        <v>989</v>
      </c>
      <c r="C965" s="635" t="s">
        <v>791</v>
      </c>
      <c r="D965" s="635"/>
      <c r="E965" s="635" t="s">
        <v>1494</v>
      </c>
      <c r="F965" s="465" t="s">
        <v>39</v>
      </c>
      <c r="G965" s="466">
        <v>0</v>
      </c>
      <c r="H965" s="466">
        <v>0</v>
      </c>
      <c r="I965" s="467">
        <v>0.53</v>
      </c>
      <c r="J965" s="468">
        <v>0</v>
      </c>
    </row>
    <row r="966" spans="1:10" ht="12.75" outlineLevel="2">
      <c r="A966" s="645">
        <v>2141127214</v>
      </c>
      <c r="B966" s="635" t="s">
        <v>990</v>
      </c>
      <c r="C966" s="635" t="s">
        <v>791</v>
      </c>
      <c r="D966" s="635"/>
      <c r="E966" s="635" t="s">
        <v>1494</v>
      </c>
      <c r="F966" s="465" t="s">
        <v>473</v>
      </c>
      <c r="G966" s="466">
        <v>0</v>
      </c>
      <c r="H966" s="466">
        <v>0.145</v>
      </c>
      <c r="I966" s="467">
        <v>0.083</v>
      </c>
      <c r="J966" s="468">
        <v>0</v>
      </c>
    </row>
    <row r="967" spans="1:10" ht="12.75" outlineLevel="2">
      <c r="A967" s="645">
        <v>2141127214</v>
      </c>
      <c r="B967" s="635" t="s">
        <v>990</v>
      </c>
      <c r="C967" s="635" t="s">
        <v>791</v>
      </c>
      <c r="D967" s="635"/>
      <c r="E967" s="635" t="s">
        <v>1494</v>
      </c>
      <c r="F967" s="465" t="s">
        <v>118</v>
      </c>
      <c r="G967" s="466">
        <v>0</v>
      </c>
      <c r="H967" s="466">
        <v>3.347</v>
      </c>
      <c r="I967" s="467">
        <v>3.227</v>
      </c>
      <c r="J967" s="468">
        <v>0.12</v>
      </c>
    </row>
    <row r="968" spans="1:10" ht="12.75" outlineLevel="2">
      <c r="A968" s="645">
        <v>2141127214</v>
      </c>
      <c r="B968" s="635" t="s">
        <v>990</v>
      </c>
      <c r="C968" s="635" t="s">
        <v>791</v>
      </c>
      <c r="D968" s="635"/>
      <c r="E968" s="635" t="s">
        <v>1494</v>
      </c>
      <c r="F968" s="465" t="s">
        <v>39</v>
      </c>
      <c r="G968" s="466">
        <v>0</v>
      </c>
      <c r="H968" s="466">
        <v>0</v>
      </c>
      <c r="I968" s="467">
        <v>0.608</v>
      </c>
      <c r="J968" s="468">
        <v>0</v>
      </c>
    </row>
    <row r="969" spans="1:10" ht="12.75" outlineLevel="2">
      <c r="A969" s="645">
        <v>2141127216</v>
      </c>
      <c r="B969" s="635" t="s">
        <v>991</v>
      </c>
      <c r="C969" s="635" t="s">
        <v>791</v>
      </c>
      <c r="D969" s="635"/>
      <c r="E969" s="635" t="s">
        <v>1494</v>
      </c>
      <c r="F969" s="465" t="s">
        <v>473</v>
      </c>
      <c r="G969" s="466">
        <v>0</v>
      </c>
      <c r="H969" s="466">
        <v>0.225</v>
      </c>
      <c r="I969" s="467">
        <v>0.118</v>
      </c>
      <c r="J969" s="468">
        <v>0</v>
      </c>
    </row>
    <row r="970" spans="1:10" ht="12.75" outlineLevel="2">
      <c r="A970" s="645">
        <v>2141127216</v>
      </c>
      <c r="B970" s="635" t="s">
        <v>991</v>
      </c>
      <c r="C970" s="635" t="s">
        <v>791</v>
      </c>
      <c r="D970" s="635"/>
      <c r="E970" s="635" t="s">
        <v>1494</v>
      </c>
      <c r="F970" s="465" t="s">
        <v>118</v>
      </c>
      <c r="G970" s="466">
        <v>0</v>
      </c>
      <c r="H970" s="466">
        <v>2.665</v>
      </c>
      <c r="I970" s="467">
        <v>2.544</v>
      </c>
      <c r="J970" s="468">
        <v>0.121</v>
      </c>
    </row>
    <row r="971" spans="1:10" ht="12.75" outlineLevel="2">
      <c r="A971" s="645">
        <v>2141127216</v>
      </c>
      <c r="B971" s="635" t="s">
        <v>991</v>
      </c>
      <c r="C971" s="635" t="s">
        <v>791</v>
      </c>
      <c r="D971" s="635"/>
      <c r="E971" s="635" t="s">
        <v>1494</v>
      </c>
      <c r="F971" s="465" t="s">
        <v>39</v>
      </c>
      <c r="G971" s="466">
        <v>0</v>
      </c>
      <c r="H971" s="466">
        <v>0</v>
      </c>
      <c r="I971" s="467">
        <v>0.521</v>
      </c>
      <c r="J971" s="468">
        <v>0</v>
      </c>
    </row>
    <row r="972" spans="1:10" ht="12.75" outlineLevel="2">
      <c r="A972" s="645">
        <v>2141127220</v>
      </c>
      <c r="B972" s="635" t="s">
        <v>992</v>
      </c>
      <c r="C972" s="635" t="s">
        <v>791</v>
      </c>
      <c r="D972" s="635"/>
      <c r="E972" s="635" t="s">
        <v>1494</v>
      </c>
      <c r="F972" s="465" t="s">
        <v>473</v>
      </c>
      <c r="G972" s="466">
        <v>0</v>
      </c>
      <c r="H972" s="466">
        <v>0.155</v>
      </c>
      <c r="I972" s="467">
        <v>0.142</v>
      </c>
      <c r="J972" s="468">
        <v>0.013</v>
      </c>
    </row>
    <row r="973" spans="1:10" ht="12.75" outlineLevel="2">
      <c r="A973" s="645">
        <v>2141127220</v>
      </c>
      <c r="B973" s="635" t="s">
        <v>992</v>
      </c>
      <c r="C973" s="635" t="s">
        <v>791</v>
      </c>
      <c r="D973" s="635"/>
      <c r="E973" s="635" t="s">
        <v>1494</v>
      </c>
      <c r="F973" s="465" t="s">
        <v>118</v>
      </c>
      <c r="G973" s="466">
        <v>0</v>
      </c>
      <c r="H973" s="466">
        <v>0.79</v>
      </c>
      <c r="I973" s="467">
        <v>0.588</v>
      </c>
      <c r="J973" s="468">
        <v>0.202</v>
      </c>
    </row>
    <row r="974" spans="1:10" ht="12.75" outlineLevel="2">
      <c r="A974" s="645">
        <v>2141127220</v>
      </c>
      <c r="B974" s="635" t="s">
        <v>992</v>
      </c>
      <c r="C974" s="635" t="s">
        <v>791</v>
      </c>
      <c r="D974" s="635"/>
      <c r="E974" s="635" t="s">
        <v>1494</v>
      </c>
      <c r="F974" s="465" t="s">
        <v>39</v>
      </c>
      <c r="G974" s="466">
        <v>0</v>
      </c>
      <c r="H974" s="466">
        <v>0</v>
      </c>
      <c r="I974" s="467">
        <v>2</v>
      </c>
      <c r="J974" s="468">
        <v>0</v>
      </c>
    </row>
    <row r="975" spans="1:10" ht="12.75" outlineLevel="2">
      <c r="A975" s="645">
        <v>2141127225</v>
      </c>
      <c r="B975" s="635" t="s">
        <v>993</v>
      </c>
      <c r="C975" s="635" t="s">
        <v>791</v>
      </c>
      <c r="D975" s="635"/>
      <c r="E975" s="635" t="s">
        <v>1494</v>
      </c>
      <c r="F975" s="465" t="s">
        <v>473</v>
      </c>
      <c r="G975" s="466">
        <v>0</v>
      </c>
      <c r="H975" s="466">
        <v>0.2</v>
      </c>
      <c r="I975" s="467">
        <v>0</v>
      </c>
      <c r="J975" s="468">
        <v>0.2</v>
      </c>
    </row>
    <row r="976" spans="1:10" ht="12.75" outlineLevel="2">
      <c r="A976" s="645">
        <v>2141127225</v>
      </c>
      <c r="B976" s="635" t="s">
        <v>993</v>
      </c>
      <c r="C976" s="635" t="s">
        <v>791</v>
      </c>
      <c r="D976" s="635"/>
      <c r="E976" s="635" t="s">
        <v>1494</v>
      </c>
      <c r="F976" s="465" t="s">
        <v>118</v>
      </c>
      <c r="G976" s="466">
        <v>0</v>
      </c>
      <c r="H976" s="466">
        <v>0.208</v>
      </c>
      <c r="I976" s="467">
        <v>0</v>
      </c>
      <c r="J976" s="468">
        <v>0.208</v>
      </c>
    </row>
    <row r="977" spans="1:10" ht="12.75" outlineLevel="2">
      <c r="A977" s="645">
        <v>2141127225</v>
      </c>
      <c r="B977" s="635" t="s">
        <v>993</v>
      </c>
      <c r="C977" s="635" t="s">
        <v>791</v>
      </c>
      <c r="D977" s="635"/>
      <c r="E977" s="635" t="s">
        <v>1494</v>
      </c>
      <c r="F977" s="465" t="s">
        <v>39</v>
      </c>
      <c r="G977" s="466">
        <v>0</v>
      </c>
      <c r="H977" s="466">
        <v>0</v>
      </c>
      <c r="I977" s="467">
        <v>0.706</v>
      </c>
      <c r="J977" s="468">
        <v>0</v>
      </c>
    </row>
    <row r="978" spans="1:10" ht="12.75" outlineLevel="2">
      <c r="A978" s="645">
        <v>2141127226</v>
      </c>
      <c r="B978" s="635" t="s">
        <v>994</v>
      </c>
      <c r="C978" s="635" t="s">
        <v>791</v>
      </c>
      <c r="D978" s="635"/>
      <c r="E978" s="635" t="s">
        <v>1494</v>
      </c>
      <c r="F978" s="465" t="s">
        <v>473</v>
      </c>
      <c r="G978" s="466">
        <v>0</v>
      </c>
      <c r="H978" s="466">
        <v>0.2</v>
      </c>
      <c r="I978" s="467">
        <v>0</v>
      </c>
      <c r="J978" s="468">
        <v>0.2</v>
      </c>
    </row>
    <row r="979" spans="1:10" ht="12.75" outlineLevel="2">
      <c r="A979" s="645">
        <v>2141127226</v>
      </c>
      <c r="B979" s="635" t="s">
        <v>994</v>
      </c>
      <c r="C979" s="635" t="s">
        <v>791</v>
      </c>
      <c r="D979" s="635"/>
      <c r="E979" s="635" t="s">
        <v>1494</v>
      </c>
      <c r="F979" s="465" t="s">
        <v>39</v>
      </c>
      <c r="G979" s="466">
        <v>0</v>
      </c>
      <c r="H979" s="466">
        <v>0</v>
      </c>
      <c r="I979" s="467">
        <v>1.957</v>
      </c>
      <c r="J979" s="468">
        <v>0</v>
      </c>
    </row>
    <row r="980" spans="1:10" ht="12.75" outlineLevel="2">
      <c r="A980" s="645">
        <v>2141127229</v>
      </c>
      <c r="B980" s="635" t="s">
        <v>995</v>
      </c>
      <c r="C980" s="635" t="s">
        <v>791</v>
      </c>
      <c r="D980" s="635"/>
      <c r="E980" s="635" t="s">
        <v>1494</v>
      </c>
      <c r="F980" s="465" t="s">
        <v>473</v>
      </c>
      <c r="G980" s="466">
        <v>0</v>
      </c>
      <c r="H980" s="466">
        <v>0.2</v>
      </c>
      <c r="I980" s="467">
        <v>0</v>
      </c>
      <c r="J980" s="468">
        <v>0.2</v>
      </c>
    </row>
    <row r="981" spans="1:10" ht="12.75" outlineLevel="2">
      <c r="A981" s="645">
        <v>2141127229</v>
      </c>
      <c r="B981" s="635" t="s">
        <v>995</v>
      </c>
      <c r="C981" s="635" t="s">
        <v>791</v>
      </c>
      <c r="D981" s="635"/>
      <c r="E981" s="635" t="s">
        <v>1494</v>
      </c>
      <c r="F981" s="465" t="s">
        <v>118</v>
      </c>
      <c r="G981" s="466">
        <v>0</v>
      </c>
      <c r="H981" s="466">
        <v>0.442</v>
      </c>
      <c r="I981" s="467">
        <v>0</v>
      </c>
      <c r="J981" s="468">
        <v>0.442</v>
      </c>
    </row>
    <row r="982" spans="1:10" ht="12.75" outlineLevel="2">
      <c r="A982" s="645">
        <v>2141127229</v>
      </c>
      <c r="B982" s="635" t="s">
        <v>995</v>
      </c>
      <c r="C982" s="635" t="s">
        <v>791</v>
      </c>
      <c r="D982" s="635"/>
      <c r="E982" s="635" t="s">
        <v>1494</v>
      </c>
      <c r="F982" s="465" t="s">
        <v>39</v>
      </c>
      <c r="G982" s="466">
        <v>0</v>
      </c>
      <c r="H982" s="466">
        <v>0</v>
      </c>
      <c r="I982" s="467">
        <v>2.053</v>
      </c>
      <c r="J982" s="468">
        <v>0</v>
      </c>
    </row>
    <row r="983" spans="1:10" ht="12.75" outlineLevel="2">
      <c r="A983" s="645">
        <v>2141127230</v>
      </c>
      <c r="B983" s="635" t="s">
        <v>996</v>
      </c>
      <c r="C983" s="635" t="s">
        <v>791</v>
      </c>
      <c r="D983" s="635"/>
      <c r="E983" s="635" t="s">
        <v>1494</v>
      </c>
      <c r="F983" s="465" t="s">
        <v>473</v>
      </c>
      <c r="G983" s="466">
        <v>0</v>
      </c>
      <c r="H983" s="466">
        <v>0.2</v>
      </c>
      <c r="I983" s="467">
        <v>0</v>
      </c>
      <c r="J983" s="468">
        <v>0.2</v>
      </c>
    </row>
    <row r="984" spans="1:10" ht="12.75" outlineLevel="2">
      <c r="A984" s="645">
        <v>2141127230</v>
      </c>
      <c r="B984" s="635" t="s">
        <v>996</v>
      </c>
      <c r="C984" s="635" t="s">
        <v>791</v>
      </c>
      <c r="D984" s="635"/>
      <c r="E984" s="635" t="s">
        <v>1494</v>
      </c>
      <c r="F984" s="465" t="s">
        <v>118</v>
      </c>
      <c r="G984" s="466">
        <v>0</v>
      </c>
      <c r="H984" s="466">
        <v>0.562</v>
      </c>
      <c r="I984" s="467">
        <v>0</v>
      </c>
      <c r="J984" s="468">
        <v>0.562</v>
      </c>
    </row>
    <row r="985" spans="1:10" ht="12.75" outlineLevel="2">
      <c r="A985" s="645">
        <v>2141127230</v>
      </c>
      <c r="B985" s="635" t="s">
        <v>996</v>
      </c>
      <c r="C985" s="635" t="s">
        <v>791</v>
      </c>
      <c r="D985" s="635"/>
      <c r="E985" s="635" t="s">
        <v>1494</v>
      </c>
      <c r="F985" s="465" t="s">
        <v>39</v>
      </c>
      <c r="G985" s="466">
        <v>0</v>
      </c>
      <c r="H985" s="466">
        <v>0</v>
      </c>
      <c r="I985" s="467">
        <v>0.894</v>
      </c>
      <c r="J985" s="468">
        <v>0</v>
      </c>
    </row>
    <row r="986" spans="1:10" ht="12.75" outlineLevel="2">
      <c r="A986" s="645">
        <v>2141127231</v>
      </c>
      <c r="B986" s="635" t="s">
        <v>997</v>
      </c>
      <c r="C986" s="635" t="s">
        <v>791</v>
      </c>
      <c r="D986" s="635"/>
      <c r="E986" s="635" t="s">
        <v>1494</v>
      </c>
      <c r="F986" s="465" t="s">
        <v>473</v>
      </c>
      <c r="G986" s="466">
        <v>0</v>
      </c>
      <c r="H986" s="466">
        <v>0.155</v>
      </c>
      <c r="I986" s="467">
        <v>0.135</v>
      </c>
      <c r="J986" s="468">
        <v>0.02</v>
      </c>
    </row>
    <row r="987" spans="1:10" ht="12.75" outlineLevel="2">
      <c r="A987" s="645">
        <v>2141127231</v>
      </c>
      <c r="B987" s="635" t="s">
        <v>997</v>
      </c>
      <c r="C987" s="635" t="s">
        <v>791</v>
      </c>
      <c r="D987" s="635"/>
      <c r="E987" s="635" t="s">
        <v>1494</v>
      </c>
      <c r="F987" s="465" t="s">
        <v>118</v>
      </c>
      <c r="G987" s="466">
        <v>0</v>
      </c>
      <c r="H987" s="466">
        <v>1.487</v>
      </c>
      <c r="I987" s="467">
        <v>1.208</v>
      </c>
      <c r="J987" s="468">
        <v>0.279</v>
      </c>
    </row>
    <row r="988" spans="1:10" ht="12.75" outlineLevel="2">
      <c r="A988" s="645">
        <v>2141127231</v>
      </c>
      <c r="B988" s="635" t="s">
        <v>997</v>
      </c>
      <c r="C988" s="635" t="s">
        <v>791</v>
      </c>
      <c r="D988" s="635"/>
      <c r="E988" s="635" t="s">
        <v>1494</v>
      </c>
      <c r="F988" s="465" t="s">
        <v>39</v>
      </c>
      <c r="G988" s="466">
        <v>0</v>
      </c>
      <c r="H988" s="466">
        <v>0</v>
      </c>
      <c r="I988" s="467">
        <v>2</v>
      </c>
      <c r="J988" s="468">
        <v>0</v>
      </c>
    </row>
    <row r="989" spans="1:10" ht="12.75" outlineLevel="2">
      <c r="A989" s="645">
        <v>2141127237</v>
      </c>
      <c r="B989" s="635" t="s">
        <v>998</v>
      </c>
      <c r="C989" s="635" t="s">
        <v>791</v>
      </c>
      <c r="D989" s="635"/>
      <c r="E989" s="635" t="s">
        <v>1494</v>
      </c>
      <c r="F989" s="465" t="s">
        <v>473</v>
      </c>
      <c r="G989" s="466">
        <v>0</v>
      </c>
      <c r="H989" s="466">
        <v>0.2</v>
      </c>
      <c r="I989" s="467">
        <v>0</v>
      </c>
      <c r="J989" s="468">
        <v>0.2</v>
      </c>
    </row>
    <row r="990" spans="1:10" ht="12.75" outlineLevel="2">
      <c r="A990" s="645">
        <v>2141127237</v>
      </c>
      <c r="B990" s="635" t="s">
        <v>998</v>
      </c>
      <c r="C990" s="635" t="s">
        <v>791</v>
      </c>
      <c r="D990" s="635"/>
      <c r="E990" s="635" t="s">
        <v>1494</v>
      </c>
      <c r="F990" s="465" t="s">
        <v>39</v>
      </c>
      <c r="G990" s="466">
        <v>0</v>
      </c>
      <c r="H990" s="466">
        <v>0</v>
      </c>
      <c r="I990" s="467">
        <v>0.142</v>
      </c>
      <c r="J990" s="468">
        <v>0</v>
      </c>
    </row>
    <row r="991" spans="1:10" ht="12.75" outlineLevel="2">
      <c r="A991" s="645">
        <v>2141127243</v>
      </c>
      <c r="B991" s="635" t="s">
        <v>999</v>
      </c>
      <c r="C991" s="635" t="s">
        <v>1426</v>
      </c>
      <c r="D991" s="635"/>
      <c r="E991" s="635" t="s">
        <v>1494</v>
      </c>
      <c r="F991" s="465" t="s">
        <v>473</v>
      </c>
      <c r="G991" s="466">
        <v>0</v>
      </c>
      <c r="H991" s="466">
        <v>0.014</v>
      </c>
      <c r="I991" s="467">
        <v>0</v>
      </c>
      <c r="J991" s="468">
        <v>0</v>
      </c>
    </row>
    <row r="992" spans="1:10" ht="12.75" outlineLevel="2">
      <c r="A992" s="645">
        <v>2141127243</v>
      </c>
      <c r="B992" s="635" t="s">
        <v>999</v>
      </c>
      <c r="C992" s="635" t="s">
        <v>1426</v>
      </c>
      <c r="D992" s="635"/>
      <c r="E992" s="635" t="s">
        <v>1494</v>
      </c>
      <c r="F992" s="465" t="s">
        <v>118</v>
      </c>
      <c r="G992" s="466">
        <v>0</v>
      </c>
      <c r="H992" s="466">
        <v>2.299</v>
      </c>
      <c r="I992" s="467">
        <v>1.002</v>
      </c>
      <c r="J992" s="468">
        <v>0</v>
      </c>
    </row>
    <row r="993" spans="1:10" ht="12.75" outlineLevel="2">
      <c r="A993" s="645">
        <v>2141127243</v>
      </c>
      <c r="B993" s="635" t="s">
        <v>999</v>
      </c>
      <c r="C993" s="635" t="s">
        <v>1426</v>
      </c>
      <c r="D993" s="635"/>
      <c r="E993" s="635" t="s">
        <v>1494</v>
      </c>
      <c r="F993" s="465" t="s">
        <v>39</v>
      </c>
      <c r="G993" s="466">
        <v>0</v>
      </c>
      <c r="H993" s="466">
        <v>0</v>
      </c>
      <c r="I993" s="467">
        <v>0.406</v>
      </c>
      <c r="J993" s="468">
        <v>0</v>
      </c>
    </row>
    <row r="994" spans="1:10" ht="12.75" outlineLevel="2">
      <c r="A994" s="645">
        <v>2141127247</v>
      </c>
      <c r="B994" s="635" t="s">
        <v>1000</v>
      </c>
      <c r="C994" s="635" t="s">
        <v>1422</v>
      </c>
      <c r="D994" s="635"/>
      <c r="E994" s="635" t="s">
        <v>1494</v>
      </c>
      <c r="F994" s="465" t="s">
        <v>1845</v>
      </c>
      <c r="G994" s="466">
        <v>0</v>
      </c>
      <c r="H994" s="466">
        <v>0.17</v>
      </c>
      <c r="I994" s="467">
        <v>0.169</v>
      </c>
      <c r="J994" s="468">
        <v>0</v>
      </c>
    </row>
    <row r="995" spans="1:10" ht="12.75" outlineLevel="2">
      <c r="A995" s="645">
        <v>2141127247</v>
      </c>
      <c r="B995" s="635" t="s">
        <v>1000</v>
      </c>
      <c r="C995" s="635" t="s">
        <v>1422</v>
      </c>
      <c r="D995" s="635"/>
      <c r="E995" s="635" t="s">
        <v>1494</v>
      </c>
      <c r="F995" s="465" t="s">
        <v>96</v>
      </c>
      <c r="G995" s="466">
        <v>0</v>
      </c>
      <c r="H995" s="466">
        <v>4.446</v>
      </c>
      <c r="I995" s="467">
        <v>4.445</v>
      </c>
      <c r="J995" s="468">
        <v>0</v>
      </c>
    </row>
    <row r="996" spans="1:10" ht="12.75" outlineLevel="2">
      <c r="A996" s="645">
        <v>2141127247</v>
      </c>
      <c r="B996" s="635" t="s">
        <v>1000</v>
      </c>
      <c r="C996" s="635" t="s">
        <v>1422</v>
      </c>
      <c r="D996" s="635"/>
      <c r="E996" s="635" t="s">
        <v>1494</v>
      </c>
      <c r="F996" s="465" t="s">
        <v>333</v>
      </c>
      <c r="G996" s="466">
        <v>0</v>
      </c>
      <c r="H996" s="466">
        <v>0</v>
      </c>
      <c r="I996" s="467">
        <v>2.588</v>
      </c>
      <c r="J996" s="468">
        <v>0</v>
      </c>
    </row>
    <row r="997" spans="1:10" ht="12.75" outlineLevel="2">
      <c r="A997" s="645">
        <v>2141127248</v>
      </c>
      <c r="B997" s="635" t="s">
        <v>1001</v>
      </c>
      <c r="C997" s="635" t="s">
        <v>791</v>
      </c>
      <c r="D997" s="635"/>
      <c r="E997" s="635" t="s">
        <v>1494</v>
      </c>
      <c r="F997" s="465" t="s">
        <v>333</v>
      </c>
      <c r="G997" s="466">
        <v>0</v>
      </c>
      <c r="H997" s="466">
        <v>0</v>
      </c>
      <c r="I997" s="467">
        <v>5.374</v>
      </c>
      <c r="J997" s="468">
        <v>0</v>
      </c>
    </row>
    <row r="998" spans="1:10" ht="12.75" outlineLevel="2">
      <c r="A998" s="645">
        <v>2141128001</v>
      </c>
      <c r="B998" s="635" t="s">
        <v>2225</v>
      </c>
      <c r="C998" s="635" t="s">
        <v>1423</v>
      </c>
      <c r="D998" s="635"/>
      <c r="E998" s="635" t="s">
        <v>1494</v>
      </c>
      <c r="F998" s="465" t="s">
        <v>1845</v>
      </c>
      <c r="G998" s="466">
        <v>25.313</v>
      </c>
      <c r="H998" s="466">
        <v>25.313</v>
      </c>
      <c r="I998" s="467">
        <v>25.307</v>
      </c>
      <c r="J998" s="468">
        <v>0</v>
      </c>
    </row>
    <row r="999" spans="1:10" ht="12.75" outlineLevel="2">
      <c r="A999" s="645">
        <v>2141128002</v>
      </c>
      <c r="B999" s="635" t="s">
        <v>2225</v>
      </c>
      <c r="C999" s="635" t="s">
        <v>1424</v>
      </c>
      <c r="D999" s="635"/>
      <c r="E999" s="635" t="s">
        <v>1494</v>
      </c>
      <c r="F999" s="465" t="s">
        <v>1845</v>
      </c>
      <c r="G999" s="466">
        <v>22.167</v>
      </c>
      <c r="H999" s="466">
        <v>22.565</v>
      </c>
      <c r="I999" s="467">
        <v>22.564</v>
      </c>
      <c r="J999" s="468">
        <v>0</v>
      </c>
    </row>
    <row r="1000" spans="1:10" ht="12.75" outlineLevel="2">
      <c r="A1000" s="645">
        <v>2141128003</v>
      </c>
      <c r="B1000" s="635" t="s">
        <v>2225</v>
      </c>
      <c r="C1000" s="635" t="s">
        <v>1425</v>
      </c>
      <c r="D1000" s="635"/>
      <c r="E1000" s="635" t="s">
        <v>1494</v>
      </c>
      <c r="F1000" s="465" t="s">
        <v>1845</v>
      </c>
      <c r="G1000" s="466">
        <v>14.267</v>
      </c>
      <c r="H1000" s="466">
        <v>13.267</v>
      </c>
      <c r="I1000" s="467">
        <v>13.254</v>
      </c>
      <c r="J1000" s="468">
        <v>0</v>
      </c>
    </row>
    <row r="1001" spans="1:10" ht="12.75" outlineLevel="2">
      <c r="A1001" s="645">
        <v>2141128004</v>
      </c>
      <c r="B1001" s="635" t="s">
        <v>2225</v>
      </c>
      <c r="C1001" s="635" t="s">
        <v>1426</v>
      </c>
      <c r="D1001" s="635"/>
      <c r="E1001" s="635" t="s">
        <v>1494</v>
      </c>
      <c r="F1001" s="465" t="s">
        <v>1845</v>
      </c>
      <c r="G1001" s="466">
        <v>9.754</v>
      </c>
      <c r="H1001" s="466">
        <v>11.121</v>
      </c>
      <c r="I1001" s="467">
        <v>11.121</v>
      </c>
      <c r="J1001" s="468">
        <v>0</v>
      </c>
    </row>
    <row r="1002" spans="1:10" ht="12.75" outlineLevel="2">
      <c r="A1002" s="645">
        <v>2141128005</v>
      </c>
      <c r="B1002" s="635" t="s">
        <v>1851</v>
      </c>
      <c r="C1002" s="635" t="s">
        <v>1427</v>
      </c>
      <c r="D1002" s="635"/>
      <c r="E1002" s="635" t="s">
        <v>1494</v>
      </c>
      <c r="F1002" s="465" t="s">
        <v>1845</v>
      </c>
      <c r="G1002" s="466">
        <v>18.51</v>
      </c>
      <c r="H1002" s="466">
        <v>8.899</v>
      </c>
      <c r="I1002" s="467">
        <v>8.899</v>
      </c>
      <c r="J1002" s="468">
        <v>0</v>
      </c>
    </row>
    <row r="1003" spans="1:10" ht="12.75" outlineLevel="2">
      <c r="A1003" s="645">
        <v>2141128006</v>
      </c>
      <c r="B1003" s="635" t="s">
        <v>2225</v>
      </c>
      <c r="C1003" s="635" t="s">
        <v>1428</v>
      </c>
      <c r="D1003" s="635"/>
      <c r="E1003" s="635" t="s">
        <v>1494</v>
      </c>
      <c r="F1003" s="465" t="s">
        <v>1845</v>
      </c>
      <c r="G1003" s="466">
        <v>10.986</v>
      </c>
      <c r="H1003" s="466">
        <v>10.469</v>
      </c>
      <c r="I1003" s="467">
        <v>10.469</v>
      </c>
      <c r="J1003" s="468">
        <v>0</v>
      </c>
    </row>
    <row r="1004" spans="1:10" ht="12.75" outlineLevel="2">
      <c r="A1004" s="645">
        <v>2141128007</v>
      </c>
      <c r="B1004" s="635" t="s">
        <v>2225</v>
      </c>
      <c r="C1004" s="635" t="s">
        <v>1422</v>
      </c>
      <c r="D1004" s="635"/>
      <c r="E1004" s="635" t="s">
        <v>1494</v>
      </c>
      <c r="F1004" s="465" t="s">
        <v>1845</v>
      </c>
      <c r="G1004" s="466">
        <v>22.55</v>
      </c>
      <c r="H1004" s="466">
        <v>20.03</v>
      </c>
      <c r="I1004" s="467">
        <v>20.013</v>
      </c>
      <c r="J1004" s="468">
        <v>0</v>
      </c>
    </row>
    <row r="1005" spans="1:10" ht="12.75" outlineLevel="2">
      <c r="A1005" s="645">
        <v>2141128008</v>
      </c>
      <c r="B1005" s="635" t="s">
        <v>1851</v>
      </c>
      <c r="C1005" s="635" t="s">
        <v>791</v>
      </c>
      <c r="D1005" s="635"/>
      <c r="E1005" s="635" t="s">
        <v>1494</v>
      </c>
      <c r="F1005" s="465" t="s">
        <v>1845</v>
      </c>
      <c r="G1005" s="466">
        <v>27.617</v>
      </c>
      <c r="H1005" s="466">
        <v>24.738</v>
      </c>
      <c r="I1005" s="467">
        <v>24.726</v>
      </c>
      <c r="J1005" s="468">
        <v>0</v>
      </c>
    </row>
    <row r="1006" spans="1:10" ht="12.75" outlineLevel="2">
      <c r="A1006" s="645">
        <v>2141128009</v>
      </c>
      <c r="B1006" s="635" t="s">
        <v>2225</v>
      </c>
      <c r="C1006" s="635" t="s">
        <v>1420</v>
      </c>
      <c r="D1006" s="635"/>
      <c r="E1006" s="635" t="s">
        <v>1494</v>
      </c>
      <c r="F1006" s="465" t="s">
        <v>1845</v>
      </c>
      <c r="G1006" s="466">
        <v>18.558</v>
      </c>
      <c r="H1006" s="466">
        <v>78.732</v>
      </c>
      <c r="I1006" s="467">
        <v>77.95</v>
      </c>
      <c r="J1006" s="468">
        <v>0</v>
      </c>
    </row>
    <row r="1007" spans="1:10" ht="12.75" outlineLevel="2">
      <c r="A1007" s="645">
        <v>2141128009</v>
      </c>
      <c r="B1007" s="635" t="s">
        <v>2225</v>
      </c>
      <c r="C1007" s="635" t="s">
        <v>1420</v>
      </c>
      <c r="D1007" s="635"/>
      <c r="E1007" s="635" t="s">
        <v>1494</v>
      </c>
      <c r="F1007" s="465" t="s">
        <v>332</v>
      </c>
      <c r="G1007" s="466">
        <v>0</v>
      </c>
      <c r="H1007" s="466">
        <v>0</v>
      </c>
      <c r="I1007" s="467">
        <v>18.15</v>
      </c>
      <c r="J1007" s="468">
        <v>0</v>
      </c>
    </row>
    <row r="1008" spans="1:10" ht="12.75" outlineLevel="2">
      <c r="A1008" s="645">
        <v>2141128010</v>
      </c>
      <c r="B1008" s="635" t="s">
        <v>1002</v>
      </c>
      <c r="C1008" s="635" t="s">
        <v>1424</v>
      </c>
      <c r="D1008" s="635"/>
      <c r="E1008" s="635" t="s">
        <v>1533</v>
      </c>
      <c r="F1008" s="465" t="s">
        <v>1845</v>
      </c>
      <c r="G1008" s="466">
        <v>1.05</v>
      </c>
      <c r="H1008" s="466">
        <v>0</v>
      </c>
      <c r="I1008" s="467">
        <v>0</v>
      </c>
      <c r="J1008" s="468">
        <v>0</v>
      </c>
    </row>
    <row r="1009" spans="1:10" ht="12.75" outlineLevel="2">
      <c r="A1009" s="645">
        <v>2141128010</v>
      </c>
      <c r="B1009" s="635" t="s">
        <v>1002</v>
      </c>
      <c r="C1009" s="635" t="s">
        <v>1424</v>
      </c>
      <c r="D1009" s="635"/>
      <c r="E1009" s="635" t="s">
        <v>1533</v>
      </c>
      <c r="F1009" s="465" t="s">
        <v>473</v>
      </c>
      <c r="G1009" s="466">
        <v>5.95</v>
      </c>
      <c r="H1009" s="466">
        <v>0</v>
      </c>
      <c r="I1009" s="467">
        <v>0</v>
      </c>
      <c r="J1009" s="468">
        <v>0</v>
      </c>
    </row>
    <row r="1010" spans="1:10" ht="12.75" outlineLevel="2">
      <c r="A1010" s="645">
        <v>2141128010</v>
      </c>
      <c r="B1010" s="635" t="s">
        <v>1002</v>
      </c>
      <c r="C1010" s="635" t="s">
        <v>1424</v>
      </c>
      <c r="D1010" s="635"/>
      <c r="E1010" s="635" t="s">
        <v>1533</v>
      </c>
      <c r="F1010" s="465" t="s">
        <v>96</v>
      </c>
      <c r="G1010" s="466">
        <v>4.513</v>
      </c>
      <c r="H1010" s="466">
        <v>0</v>
      </c>
      <c r="I1010" s="467">
        <v>0</v>
      </c>
      <c r="J1010" s="468">
        <v>0</v>
      </c>
    </row>
    <row r="1011" spans="1:10" ht="12.75" outlineLevel="2">
      <c r="A1011" s="645">
        <v>2141128010</v>
      </c>
      <c r="B1011" s="635" t="s">
        <v>1002</v>
      </c>
      <c r="C1011" s="635" t="s">
        <v>1424</v>
      </c>
      <c r="D1011" s="635"/>
      <c r="E1011" s="635" t="s">
        <v>1533</v>
      </c>
      <c r="F1011" s="465" t="s">
        <v>118</v>
      </c>
      <c r="G1011" s="466">
        <v>11.293</v>
      </c>
      <c r="H1011" s="466">
        <v>0</v>
      </c>
      <c r="I1011" s="467">
        <v>0</v>
      </c>
      <c r="J1011" s="468">
        <v>0</v>
      </c>
    </row>
    <row r="1012" spans="1:10" ht="12.75" outlineLevel="2">
      <c r="A1012" s="645">
        <v>2141128011</v>
      </c>
      <c r="B1012" s="635" t="s">
        <v>1002</v>
      </c>
      <c r="C1012" s="635" t="s">
        <v>1425</v>
      </c>
      <c r="D1012" s="635"/>
      <c r="E1012" s="635" t="s">
        <v>1533</v>
      </c>
      <c r="F1012" s="465" t="s">
        <v>1845</v>
      </c>
      <c r="G1012" s="466">
        <v>0.503</v>
      </c>
      <c r="H1012" s="466">
        <v>0</v>
      </c>
      <c r="I1012" s="467">
        <v>0</v>
      </c>
      <c r="J1012" s="468">
        <v>0</v>
      </c>
    </row>
    <row r="1013" spans="1:10" ht="12.75" outlineLevel="2">
      <c r="A1013" s="645">
        <v>2141128011</v>
      </c>
      <c r="B1013" s="635" t="s">
        <v>1002</v>
      </c>
      <c r="C1013" s="635" t="s">
        <v>1425</v>
      </c>
      <c r="D1013" s="635"/>
      <c r="E1013" s="635" t="s">
        <v>1533</v>
      </c>
      <c r="F1013" s="465" t="s">
        <v>473</v>
      </c>
      <c r="G1013" s="466">
        <v>2.847</v>
      </c>
      <c r="H1013" s="466">
        <v>0</v>
      </c>
      <c r="I1013" s="467">
        <v>0</v>
      </c>
      <c r="J1013" s="468">
        <v>0</v>
      </c>
    </row>
    <row r="1014" spans="1:10" ht="12.75" outlineLevel="2">
      <c r="A1014" s="645">
        <v>2141128011</v>
      </c>
      <c r="B1014" s="635" t="s">
        <v>1002</v>
      </c>
      <c r="C1014" s="635" t="s">
        <v>1425</v>
      </c>
      <c r="D1014" s="635"/>
      <c r="E1014" s="635" t="s">
        <v>1533</v>
      </c>
      <c r="F1014" s="465" t="s">
        <v>96</v>
      </c>
      <c r="G1014" s="466">
        <v>2.632</v>
      </c>
      <c r="H1014" s="466">
        <v>0</v>
      </c>
      <c r="I1014" s="467">
        <v>0</v>
      </c>
      <c r="J1014" s="468">
        <v>0</v>
      </c>
    </row>
    <row r="1015" spans="1:10" ht="12.75" outlineLevel="2">
      <c r="A1015" s="645">
        <v>2141128011</v>
      </c>
      <c r="B1015" s="635" t="s">
        <v>1002</v>
      </c>
      <c r="C1015" s="635" t="s">
        <v>1425</v>
      </c>
      <c r="D1015" s="635"/>
      <c r="E1015" s="635" t="s">
        <v>1533</v>
      </c>
      <c r="F1015" s="465" t="s">
        <v>118</v>
      </c>
      <c r="G1015" s="466">
        <v>14.918</v>
      </c>
      <c r="H1015" s="466">
        <v>0</v>
      </c>
      <c r="I1015" s="467">
        <v>0</v>
      </c>
      <c r="J1015" s="468">
        <v>0</v>
      </c>
    </row>
    <row r="1016" spans="1:10" ht="12.75" outlineLevel="2">
      <c r="A1016" s="645">
        <v>2141128012</v>
      </c>
      <c r="B1016" s="635" t="s">
        <v>1606</v>
      </c>
      <c r="C1016" s="635" t="s">
        <v>1427</v>
      </c>
      <c r="D1016" s="635"/>
      <c r="E1016" s="635" t="s">
        <v>1533</v>
      </c>
      <c r="F1016" s="465" t="s">
        <v>96</v>
      </c>
      <c r="G1016" s="466">
        <v>4.95</v>
      </c>
      <c r="H1016" s="466">
        <v>0</v>
      </c>
      <c r="I1016" s="467">
        <v>0</v>
      </c>
      <c r="J1016" s="468">
        <v>0</v>
      </c>
    </row>
    <row r="1017" spans="1:10" ht="12.75" outlineLevel="2">
      <c r="A1017" s="645">
        <v>2141128012</v>
      </c>
      <c r="B1017" s="635" t="s">
        <v>1606</v>
      </c>
      <c r="C1017" s="635" t="s">
        <v>1427</v>
      </c>
      <c r="D1017" s="635"/>
      <c r="E1017" s="635" t="s">
        <v>1533</v>
      </c>
      <c r="F1017" s="465" t="s">
        <v>118</v>
      </c>
      <c r="G1017" s="466">
        <v>7.098</v>
      </c>
      <c r="H1017" s="466">
        <v>0</v>
      </c>
      <c r="I1017" s="467">
        <v>0</v>
      </c>
      <c r="J1017" s="468">
        <v>0</v>
      </c>
    </row>
    <row r="1018" spans="1:10" ht="12.75" outlineLevel="2">
      <c r="A1018" s="645">
        <v>2141128013</v>
      </c>
      <c r="B1018" s="635" t="s">
        <v>1002</v>
      </c>
      <c r="C1018" s="635" t="s">
        <v>1426</v>
      </c>
      <c r="D1018" s="635"/>
      <c r="E1018" s="635" t="s">
        <v>1533</v>
      </c>
      <c r="F1018" s="465" t="s">
        <v>96</v>
      </c>
      <c r="G1018" s="466">
        <v>0.788</v>
      </c>
      <c r="H1018" s="466">
        <v>0</v>
      </c>
      <c r="I1018" s="467">
        <v>0</v>
      </c>
      <c r="J1018" s="468">
        <v>0</v>
      </c>
    </row>
    <row r="1019" spans="1:10" ht="12.75" outlineLevel="2">
      <c r="A1019" s="645">
        <v>2141128013</v>
      </c>
      <c r="B1019" s="635" t="s">
        <v>1002</v>
      </c>
      <c r="C1019" s="635" t="s">
        <v>1426</v>
      </c>
      <c r="D1019" s="635"/>
      <c r="E1019" s="635" t="s">
        <v>1533</v>
      </c>
      <c r="F1019" s="465" t="s">
        <v>118</v>
      </c>
      <c r="G1019" s="466">
        <v>4.462</v>
      </c>
      <c r="H1019" s="466">
        <v>0</v>
      </c>
      <c r="I1019" s="467">
        <v>0</v>
      </c>
      <c r="J1019" s="468">
        <v>0</v>
      </c>
    </row>
    <row r="1020" spans="1:10" ht="12.75" outlineLevel="2">
      <c r="A1020" s="645">
        <v>2141128014</v>
      </c>
      <c r="B1020" s="635" t="s">
        <v>1002</v>
      </c>
      <c r="C1020" s="635" t="s">
        <v>1427</v>
      </c>
      <c r="D1020" s="635"/>
      <c r="E1020" s="635" t="s">
        <v>1533</v>
      </c>
      <c r="F1020" s="465" t="s">
        <v>1845</v>
      </c>
      <c r="G1020" s="466">
        <v>0.662</v>
      </c>
      <c r="H1020" s="466">
        <v>0</v>
      </c>
      <c r="I1020" s="467">
        <v>0</v>
      </c>
      <c r="J1020" s="468">
        <v>0</v>
      </c>
    </row>
    <row r="1021" spans="1:10" ht="12.75" outlineLevel="2">
      <c r="A1021" s="645">
        <v>2141128014</v>
      </c>
      <c r="B1021" s="635" t="s">
        <v>1002</v>
      </c>
      <c r="C1021" s="635" t="s">
        <v>1427</v>
      </c>
      <c r="D1021" s="635"/>
      <c r="E1021" s="635" t="s">
        <v>1533</v>
      </c>
      <c r="F1021" s="465" t="s">
        <v>473</v>
      </c>
      <c r="G1021" s="466">
        <v>3.748</v>
      </c>
      <c r="H1021" s="466">
        <v>0</v>
      </c>
      <c r="I1021" s="467">
        <v>0</v>
      </c>
      <c r="J1021" s="468">
        <v>0</v>
      </c>
    </row>
    <row r="1022" spans="1:10" ht="12.75" outlineLevel="2">
      <c r="A1022" s="645">
        <v>2141128014</v>
      </c>
      <c r="B1022" s="635" t="s">
        <v>1002</v>
      </c>
      <c r="C1022" s="635" t="s">
        <v>1427</v>
      </c>
      <c r="D1022" s="635"/>
      <c r="E1022" s="635" t="s">
        <v>1533</v>
      </c>
      <c r="F1022" s="465" t="s">
        <v>96</v>
      </c>
      <c r="G1022" s="466">
        <v>3.068</v>
      </c>
      <c r="H1022" s="466">
        <v>0</v>
      </c>
      <c r="I1022" s="467">
        <v>0</v>
      </c>
      <c r="J1022" s="468">
        <v>0</v>
      </c>
    </row>
    <row r="1023" spans="1:10" ht="12.75" outlineLevel="2">
      <c r="A1023" s="645">
        <v>2141128014</v>
      </c>
      <c r="B1023" s="635" t="s">
        <v>1002</v>
      </c>
      <c r="C1023" s="635" t="s">
        <v>1427</v>
      </c>
      <c r="D1023" s="635"/>
      <c r="E1023" s="635" t="s">
        <v>1533</v>
      </c>
      <c r="F1023" s="465" t="s">
        <v>118</v>
      </c>
      <c r="G1023" s="466">
        <v>17.382</v>
      </c>
      <c r="H1023" s="466">
        <v>0</v>
      </c>
      <c r="I1023" s="467">
        <v>0</v>
      </c>
      <c r="J1023" s="468">
        <v>0</v>
      </c>
    </row>
    <row r="1024" spans="1:10" ht="12.75" outlineLevel="2">
      <c r="A1024" s="645">
        <v>2141128015</v>
      </c>
      <c r="B1024" s="635" t="s">
        <v>1607</v>
      </c>
      <c r="C1024" s="635" t="s">
        <v>1428</v>
      </c>
      <c r="D1024" s="635"/>
      <c r="E1024" s="635" t="s">
        <v>1533</v>
      </c>
      <c r="F1024" s="465" t="s">
        <v>96</v>
      </c>
      <c r="G1024" s="466">
        <v>0.326</v>
      </c>
      <c r="H1024" s="466">
        <v>0</v>
      </c>
      <c r="I1024" s="467">
        <v>0</v>
      </c>
      <c r="J1024" s="468">
        <v>0</v>
      </c>
    </row>
    <row r="1025" spans="1:10" ht="12.75" outlineLevel="2">
      <c r="A1025" s="645">
        <v>2141128015</v>
      </c>
      <c r="B1025" s="635" t="s">
        <v>1607</v>
      </c>
      <c r="C1025" s="635" t="s">
        <v>1428</v>
      </c>
      <c r="D1025" s="635"/>
      <c r="E1025" s="635" t="s">
        <v>1533</v>
      </c>
      <c r="F1025" s="465" t="s">
        <v>118</v>
      </c>
      <c r="G1025" s="466">
        <v>1.848</v>
      </c>
      <c r="H1025" s="466">
        <v>0</v>
      </c>
      <c r="I1025" s="467">
        <v>0</v>
      </c>
      <c r="J1025" s="468">
        <v>0</v>
      </c>
    </row>
    <row r="1026" spans="1:10" ht="12.75" outlineLevel="2">
      <c r="A1026" s="645">
        <v>2141128016</v>
      </c>
      <c r="B1026" s="635" t="s">
        <v>1002</v>
      </c>
      <c r="C1026" s="635" t="s">
        <v>1428</v>
      </c>
      <c r="D1026" s="635"/>
      <c r="E1026" s="635" t="s">
        <v>1533</v>
      </c>
      <c r="F1026" s="465" t="s">
        <v>96</v>
      </c>
      <c r="G1026" s="466">
        <v>0.624</v>
      </c>
      <c r="H1026" s="466">
        <v>0</v>
      </c>
      <c r="I1026" s="467">
        <v>0</v>
      </c>
      <c r="J1026" s="468">
        <v>0</v>
      </c>
    </row>
    <row r="1027" spans="1:10" ht="12.75" outlineLevel="2">
      <c r="A1027" s="645">
        <v>2141128016</v>
      </c>
      <c r="B1027" s="635" t="s">
        <v>1002</v>
      </c>
      <c r="C1027" s="635" t="s">
        <v>1428</v>
      </c>
      <c r="D1027" s="635"/>
      <c r="E1027" s="635" t="s">
        <v>1533</v>
      </c>
      <c r="F1027" s="465" t="s">
        <v>118</v>
      </c>
      <c r="G1027" s="466">
        <v>3.536</v>
      </c>
      <c r="H1027" s="466">
        <v>0</v>
      </c>
      <c r="I1027" s="467">
        <v>0</v>
      </c>
      <c r="J1027" s="468">
        <v>0</v>
      </c>
    </row>
    <row r="1028" spans="1:10" ht="12.75" outlineLevel="2">
      <c r="A1028" s="645">
        <v>2141128017</v>
      </c>
      <c r="B1028" s="635" t="s">
        <v>1002</v>
      </c>
      <c r="C1028" s="635" t="s">
        <v>1422</v>
      </c>
      <c r="D1028" s="635"/>
      <c r="E1028" s="635" t="s">
        <v>1533</v>
      </c>
      <c r="F1028" s="465" t="s">
        <v>96</v>
      </c>
      <c r="G1028" s="466">
        <v>7.483</v>
      </c>
      <c r="H1028" s="466">
        <v>0</v>
      </c>
      <c r="I1028" s="467">
        <v>0</v>
      </c>
      <c r="J1028" s="468">
        <v>0</v>
      </c>
    </row>
    <row r="1029" spans="1:10" ht="12.75" outlineLevel="2">
      <c r="A1029" s="645">
        <v>2141128017</v>
      </c>
      <c r="B1029" s="635" t="s">
        <v>1002</v>
      </c>
      <c r="C1029" s="635" t="s">
        <v>1422</v>
      </c>
      <c r="D1029" s="635"/>
      <c r="E1029" s="635" t="s">
        <v>1533</v>
      </c>
      <c r="F1029" s="465" t="s">
        <v>118</v>
      </c>
      <c r="G1029" s="466">
        <v>22.407</v>
      </c>
      <c r="H1029" s="466">
        <v>0</v>
      </c>
      <c r="I1029" s="467">
        <v>0</v>
      </c>
      <c r="J1029" s="468">
        <v>0</v>
      </c>
    </row>
    <row r="1030" spans="1:10" ht="12.75" outlineLevel="2">
      <c r="A1030" s="645">
        <v>2141128018</v>
      </c>
      <c r="B1030" s="635" t="s">
        <v>1607</v>
      </c>
      <c r="C1030" s="635" t="s">
        <v>791</v>
      </c>
      <c r="D1030" s="635"/>
      <c r="E1030" s="635" t="s">
        <v>1533</v>
      </c>
      <c r="F1030" s="465" t="s">
        <v>96</v>
      </c>
      <c r="G1030" s="466">
        <v>0.3</v>
      </c>
      <c r="H1030" s="466">
        <v>0</v>
      </c>
      <c r="I1030" s="467">
        <v>0</v>
      </c>
      <c r="J1030" s="468">
        <v>0</v>
      </c>
    </row>
    <row r="1031" spans="1:10" ht="12.75" outlineLevel="2">
      <c r="A1031" s="645">
        <v>2141128018</v>
      </c>
      <c r="B1031" s="635" t="s">
        <v>1607</v>
      </c>
      <c r="C1031" s="635" t="s">
        <v>791</v>
      </c>
      <c r="D1031" s="635"/>
      <c r="E1031" s="635" t="s">
        <v>1533</v>
      </c>
      <c r="F1031" s="465" t="s">
        <v>118</v>
      </c>
      <c r="G1031" s="466">
        <v>1.7</v>
      </c>
      <c r="H1031" s="466">
        <v>0</v>
      </c>
      <c r="I1031" s="467">
        <v>0</v>
      </c>
      <c r="J1031" s="468">
        <v>0</v>
      </c>
    </row>
    <row r="1032" spans="1:10" ht="12.75" outlineLevel="2">
      <c r="A1032" s="645">
        <v>2141128019</v>
      </c>
      <c r="B1032" s="635" t="s">
        <v>1002</v>
      </c>
      <c r="C1032" s="635" t="s">
        <v>791</v>
      </c>
      <c r="D1032" s="635"/>
      <c r="E1032" s="635" t="s">
        <v>1533</v>
      </c>
      <c r="F1032" s="465" t="s">
        <v>96</v>
      </c>
      <c r="G1032" s="466">
        <v>8.664</v>
      </c>
      <c r="H1032" s="466">
        <v>0</v>
      </c>
      <c r="I1032" s="467">
        <v>0</v>
      </c>
      <c r="J1032" s="468">
        <v>0</v>
      </c>
    </row>
    <row r="1033" spans="1:10" ht="12.75" outlineLevel="2">
      <c r="A1033" s="645">
        <v>2141128019</v>
      </c>
      <c r="B1033" s="635" t="s">
        <v>1002</v>
      </c>
      <c r="C1033" s="635" t="s">
        <v>791</v>
      </c>
      <c r="D1033" s="635"/>
      <c r="E1033" s="635" t="s">
        <v>1533</v>
      </c>
      <c r="F1033" s="465" t="s">
        <v>118</v>
      </c>
      <c r="G1033" s="466">
        <v>29.096</v>
      </c>
      <c r="H1033" s="466">
        <v>0</v>
      </c>
      <c r="I1033" s="467">
        <v>0</v>
      </c>
      <c r="J1033" s="468">
        <v>0</v>
      </c>
    </row>
    <row r="1034" spans="1:10" ht="12.75" outlineLevel="2">
      <c r="A1034" s="645">
        <v>2141128020</v>
      </c>
      <c r="B1034" s="635" t="s">
        <v>1608</v>
      </c>
      <c r="C1034" s="635" t="s">
        <v>1420</v>
      </c>
      <c r="D1034" s="635"/>
      <c r="E1034" s="635" t="s">
        <v>1533</v>
      </c>
      <c r="F1034" s="465" t="s">
        <v>96</v>
      </c>
      <c r="G1034" s="466">
        <v>2.25</v>
      </c>
      <c r="H1034" s="466">
        <v>0</v>
      </c>
      <c r="I1034" s="467">
        <v>0</v>
      </c>
      <c r="J1034" s="468">
        <v>0</v>
      </c>
    </row>
    <row r="1035" spans="1:10" ht="12.75" outlineLevel="2">
      <c r="A1035" s="645">
        <v>2141128020</v>
      </c>
      <c r="B1035" s="635" t="s">
        <v>1608</v>
      </c>
      <c r="C1035" s="635" t="s">
        <v>1420</v>
      </c>
      <c r="D1035" s="635"/>
      <c r="E1035" s="635" t="s">
        <v>1533</v>
      </c>
      <c r="F1035" s="465" t="s">
        <v>118</v>
      </c>
      <c r="G1035" s="466">
        <v>12.75</v>
      </c>
      <c r="H1035" s="466">
        <v>0</v>
      </c>
      <c r="I1035" s="467">
        <v>0</v>
      </c>
      <c r="J1035" s="468">
        <v>0</v>
      </c>
    </row>
    <row r="1036" spans="1:10" ht="12.75" outlineLevel="2">
      <c r="A1036" s="645">
        <v>2141128021</v>
      </c>
      <c r="B1036" s="635" t="s">
        <v>1609</v>
      </c>
      <c r="C1036" s="635" t="s">
        <v>1420</v>
      </c>
      <c r="D1036" s="635"/>
      <c r="E1036" s="635" t="s">
        <v>1533</v>
      </c>
      <c r="F1036" s="465" t="s">
        <v>96</v>
      </c>
      <c r="G1036" s="466">
        <v>10.612</v>
      </c>
      <c r="H1036" s="466">
        <v>0</v>
      </c>
      <c r="I1036" s="467">
        <v>0</v>
      </c>
      <c r="J1036" s="468">
        <v>0</v>
      </c>
    </row>
    <row r="1037" spans="1:10" ht="12.75" outlineLevel="2">
      <c r="A1037" s="645">
        <v>2141128022</v>
      </c>
      <c r="B1037" s="635" t="s">
        <v>1610</v>
      </c>
      <c r="C1037" s="635" t="s">
        <v>1423</v>
      </c>
      <c r="D1037" s="635"/>
      <c r="E1037" s="635" t="s">
        <v>1533</v>
      </c>
      <c r="F1037" s="465" t="s">
        <v>96</v>
      </c>
      <c r="G1037" s="466">
        <v>76.357</v>
      </c>
      <c r="H1037" s="466">
        <v>0</v>
      </c>
      <c r="I1037" s="467">
        <v>0</v>
      </c>
      <c r="J1037" s="468">
        <v>0</v>
      </c>
    </row>
    <row r="1038" spans="1:10" ht="12.75" outlineLevel="2">
      <c r="A1038" s="645">
        <v>2141128023</v>
      </c>
      <c r="B1038" s="635" t="s">
        <v>1609</v>
      </c>
      <c r="C1038" s="635" t="s">
        <v>1424</v>
      </c>
      <c r="D1038" s="635"/>
      <c r="E1038" s="635" t="s">
        <v>1533</v>
      </c>
      <c r="F1038" s="465" t="s">
        <v>96</v>
      </c>
      <c r="G1038" s="466">
        <v>2.05</v>
      </c>
      <c r="H1038" s="466">
        <v>0</v>
      </c>
      <c r="I1038" s="467">
        <v>0</v>
      </c>
      <c r="J1038" s="468">
        <v>0</v>
      </c>
    </row>
    <row r="1039" spans="1:10" ht="12.75" outlineLevel="2">
      <c r="A1039" s="645">
        <v>2141128024</v>
      </c>
      <c r="B1039" s="635" t="s">
        <v>1611</v>
      </c>
      <c r="C1039" s="635" t="s">
        <v>1424</v>
      </c>
      <c r="D1039" s="635"/>
      <c r="E1039" s="635" t="s">
        <v>1533</v>
      </c>
      <c r="F1039" s="465" t="s">
        <v>96</v>
      </c>
      <c r="G1039" s="466">
        <v>34.829</v>
      </c>
      <c r="H1039" s="466">
        <v>0</v>
      </c>
      <c r="I1039" s="467">
        <v>0</v>
      </c>
      <c r="J1039" s="468">
        <v>0</v>
      </c>
    </row>
    <row r="1040" spans="1:10" ht="12.75" outlineLevel="2">
      <c r="A1040" s="645">
        <v>2141128025</v>
      </c>
      <c r="B1040" s="635" t="s">
        <v>1611</v>
      </c>
      <c r="C1040" s="635" t="s">
        <v>1425</v>
      </c>
      <c r="D1040" s="635"/>
      <c r="E1040" s="635" t="s">
        <v>1533</v>
      </c>
      <c r="F1040" s="465" t="s">
        <v>96</v>
      </c>
      <c r="G1040" s="466">
        <v>21.13</v>
      </c>
      <c r="H1040" s="466">
        <v>0</v>
      </c>
      <c r="I1040" s="467">
        <v>0</v>
      </c>
      <c r="J1040" s="468">
        <v>0</v>
      </c>
    </row>
    <row r="1041" spans="1:10" ht="12.75" outlineLevel="2">
      <c r="A1041" s="645">
        <v>2141128026</v>
      </c>
      <c r="B1041" s="635" t="s">
        <v>1611</v>
      </c>
      <c r="C1041" s="635" t="s">
        <v>1426</v>
      </c>
      <c r="D1041" s="635"/>
      <c r="E1041" s="635" t="s">
        <v>1533</v>
      </c>
      <c r="F1041" s="465" t="s">
        <v>96</v>
      </c>
      <c r="G1041" s="466">
        <v>18.214</v>
      </c>
      <c r="H1041" s="466">
        <v>0</v>
      </c>
      <c r="I1041" s="467">
        <v>0</v>
      </c>
      <c r="J1041" s="468">
        <v>0</v>
      </c>
    </row>
    <row r="1042" spans="1:10" ht="12.75" outlineLevel="2">
      <c r="A1042" s="645">
        <v>2141128027</v>
      </c>
      <c r="B1042" s="635" t="s">
        <v>1611</v>
      </c>
      <c r="C1042" s="635" t="s">
        <v>1427</v>
      </c>
      <c r="D1042" s="635"/>
      <c r="E1042" s="635" t="s">
        <v>1533</v>
      </c>
      <c r="F1042" s="465" t="s">
        <v>96</v>
      </c>
      <c r="G1042" s="466">
        <v>111.665</v>
      </c>
      <c r="H1042" s="466">
        <v>0</v>
      </c>
      <c r="I1042" s="467">
        <v>0</v>
      </c>
      <c r="J1042" s="468">
        <v>0</v>
      </c>
    </row>
    <row r="1043" spans="1:10" ht="12.75" outlineLevel="2">
      <c r="A1043" s="645">
        <v>2141128028</v>
      </c>
      <c r="B1043" s="635" t="s">
        <v>1611</v>
      </c>
      <c r="C1043" s="635" t="s">
        <v>1428</v>
      </c>
      <c r="D1043" s="635"/>
      <c r="E1043" s="635" t="s">
        <v>1533</v>
      </c>
      <c r="F1043" s="465" t="s">
        <v>96</v>
      </c>
      <c r="G1043" s="466">
        <v>15.244</v>
      </c>
      <c r="H1043" s="466">
        <v>0</v>
      </c>
      <c r="I1043" s="467">
        <v>0</v>
      </c>
      <c r="J1043" s="468">
        <v>0</v>
      </c>
    </row>
    <row r="1044" spans="1:10" ht="12.75" outlineLevel="2">
      <c r="A1044" s="645">
        <v>2141128029</v>
      </c>
      <c r="B1044" s="635" t="s">
        <v>1611</v>
      </c>
      <c r="C1044" s="635" t="s">
        <v>1422</v>
      </c>
      <c r="D1044" s="635"/>
      <c r="E1044" s="635" t="s">
        <v>1533</v>
      </c>
      <c r="F1044" s="465" t="s">
        <v>96</v>
      </c>
      <c r="G1044" s="466">
        <v>56.372</v>
      </c>
      <c r="H1044" s="466">
        <v>0</v>
      </c>
      <c r="I1044" s="467">
        <v>0</v>
      </c>
      <c r="J1044" s="468">
        <v>0</v>
      </c>
    </row>
    <row r="1045" spans="1:10" ht="12.75" outlineLevel="2">
      <c r="A1045" s="645">
        <v>2141128030</v>
      </c>
      <c r="B1045" s="635" t="s">
        <v>1611</v>
      </c>
      <c r="C1045" s="635" t="s">
        <v>791</v>
      </c>
      <c r="D1045" s="635"/>
      <c r="E1045" s="635" t="s">
        <v>1533</v>
      </c>
      <c r="F1045" s="465" t="s">
        <v>96</v>
      </c>
      <c r="G1045" s="466">
        <v>99.078</v>
      </c>
      <c r="H1045" s="466">
        <v>0</v>
      </c>
      <c r="I1045" s="467">
        <v>0</v>
      </c>
      <c r="J1045" s="468">
        <v>0</v>
      </c>
    </row>
    <row r="1046" spans="1:10" ht="12.75" outlineLevel="2">
      <c r="A1046" s="645">
        <v>2141128031</v>
      </c>
      <c r="B1046" s="635" t="s">
        <v>1612</v>
      </c>
      <c r="C1046" s="635" t="s">
        <v>1424</v>
      </c>
      <c r="D1046" s="635"/>
      <c r="E1046" s="635" t="s">
        <v>1533</v>
      </c>
      <c r="F1046" s="465" t="s">
        <v>96</v>
      </c>
      <c r="G1046" s="466">
        <v>5.349</v>
      </c>
      <c r="H1046" s="466">
        <v>0</v>
      </c>
      <c r="I1046" s="467">
        <v>0</v>
      </c>
      <c r="J1046" s="468">
        <v>0</v>
      </c>
    </row>
    <row r="1047" spans="1:10" ht="12.75" outlineLevel="2">
      <c r="A1047" s="645">
        <v>2141128032</v>
      </c>
      <c r="B1047" s="635" t="s">
        <v>1612</v>
      </c>
      <c r="C1047" s="635" t="s">
        <v>1425</v>
      </c>
      <c r="D1047" s="635"/>
      <c r="E1047" s="635" t="s">
        <v>1533</v>
      </c>
      <c r="F1047" s="465" t="s">
        <v>96</v>
      </c>
      <c r="G1047" s="466">
        <v>4.489</v>
      </c>
      <c r="H1047" s="466">
        <v>0</v>
      </c>
      <c r="I1047" s="467">
        <v>0</v>
      </c>
      <c r="J1047" s="468">
        <v>0</v>
      </c>
    </row>
    <row r="1048" spans="1:10" ht="12.75" outlineLevel="2">
      <c r="A1048" s="645">
        <v>2141128033</v>
      </c>
      <c r="B1048" s="635" t="s">
        <v>1612</v>
      </c>
      <c r="C1048" s="635" t="s">
        <v>1426</v>
      </c>
      <c r="D1048" s="635"/>
      <c r="E1048" s="635" t="s">
        <v>1533</v>
      </c>
      <c r="F1048" s="465" t="s">
        <v>96</v>
      </c>
      <c r="G1048" s="466">
        <v>3.645</v>
      </c>
      <c r="H1048" s="466">
        <v>0</v>
      </c>
      <c r="I1048" s="467">
        <v>0</v>
      </c>
      <c r="J1048" s="468">
        <v>0</v>
      </c>
    </row>
    <row r="1049" spans="1:10" ht="12.75" outlineLevel="2">
      <c r="A1049" s="645">
        <v>2141128034</v>
      </c>
      <c r="B1049" s="635" t="s">
        <v>1612</v>
      </c>
      <c r="C1049" s="635" t="s">
        <v>1427</v>
      </c>
      <c r="D1049" s="635"/>
      <c r="E1049" s="635" t="s">
        <v>1533</v>
      </c>
      <c r="F1049" s="465" t="s">
        <v>96</v>
      </c>
      <c r="G1049" s="466">
        <v>7.208</v>
      </c>
      <c r="H1049" s="466">
        <v>0</v>
      </c>
      <c r="I1049" s="467">
        <v>0</v>
      </c>
      <c r="J1049" s="468">
        <v>0</v>
      </c>
    </row>
    <row r="1050" spans="1:10" ht="12.75" outlineLevel="2">
      <c r="A1050" s="645">
        <v>2141128035</v>
      </c>
      <c r="B1050" s="635" t="s">
        <v>1612</v>
      </c>
      <c r="C1050" s="635" t="s">
        <v>1428</v>
      </c>
      <c r="D1050" s="635"/>
      <c r="E1050" s="635" t="s">
        <v>1533</v>
      </c>
      <c r="F1050" s="465" t="s">
        <v>96</v>
      </c>
      <c r="G1050" s="466">
        <v>4.034</v>
      </c>
      <c r="H1050" s="466">
        <v>0</v>
      </c>
      <c r="I1050" s="467">
        <v>0</v>
      </c>
      <c r="J1050" s="468">
        <v>0</v>
      </c>
    </row>
    <row r="1051" spans="1:10" ht="12.75" outlineLevel="2">
      <c r="A1051" s="645">
        <v>2141128036</v>
      </c>
      <c r="B1051" s="635" t="s">
        <v>1612</v>
      </c>
      <c r="C1051" s="635" t="s">
        <v>1422</v>
      </c>
      <c r="D1051" s="635"/>
      <c r="E1051" s="635" t="s">
        <v>1533</v>
      </c>
      <c r="F1051" s="465" t="s">
        <v>96</v>
      </c>
      <c r="G1051" s="466">
        <v>6.399</v>
      </c>
      <c r="H1051" s="466">
        <v>0</v>
      </c>
      <c r="I1051" s="467">
        <v>0</v>
      </c>
      <c r="J1051" s="468">
        <v>0</v>
      </c>
    </row>
    <row r="1052" spans="1:10" ht="12.75" outlineLevel="2">
      <c r="A1052" s="645">
        <v>2141128037</v>
      </c>
      <c r="B1052" s="635" t="s">
        <v>1612</v>
      </c>
      <c r="C1052" s="635" t="s">
        <v>791</v>
      </c>
      <c r="D1052" s="635"/>
      <c r="E1052" s="635" t="s">
        <v>1533</v>
      </c>
      <c r="F1052" s="465" t="s">
        <v>96</v>
      </c>
      <c r="G1052" s="466">
        <v>7.259</v>
      </c>
      <c r="H1052" s="466">
        <v>0</v>
      </c>
      <c r="I1052" s="467">
        <v>0</v>
      </c>
      <c r="J1052" s="468">
        <v>0</v>
      </c>
    </row>
    <row r="1053" spans="1:10" ht="12.75" outlineLevel="2">
      <c r="A1053" s="645">
        <v>2141128038</v>
      </c>
      <c r="B1053" s="635" t="s">
        <v>1613</v>
      </c>
      <c r="C1053" s="635" t="s">
        <v>1427</v>
      </c>
      <c r="D1053" s="635"/>
      <c r="E1053" s="635" t="s">
        <v>1494</v>
      </c>
      <c r="F1053" s="465" t="s">
        <v>332</v>
      </c>
      <c r="G1053" s="466">
        <v>0</v>
      </c>
      <c r="H1053" s="466">
        <v>0</v>
      </c>
      <c r="I1053" s="467">
        <v>0.224</v>
      </c>
      <c r="J1053" s="468">
        <v>0</v>
      </c>
    </row>
    <row r="1054" spans="1:10" ht="12.75" outlineLevel="2">
      <c r="A1054" s="645">
        <v>2141128039</v>
      </c>
      <c r="B1054" s="635" t="s">
        <v>1613</v>
      </c>
      <c r="C1054" s="635" t="s">
        <v>1424</v>
      </c>
      <c r="D1054" s="635"/>
      <c r="E1054" s="635" t="s">
        <v>1494</v>
      </c>
      <c r="F1054" s="465" t="s">
        <v>332</v>
      </c>
      <c r="G1054" s="466">
        <v>0</v>
      </c>
      <c r="H1054" s="466">
        <v>0</v>
      </c>
      <c r="I1054" s="467">
        <v>0.667</v>
      </c>
      <c r="J1054" s="468">
        <v>0</v>
      </c>
    </row>
    <row r="1055" spans="1:10" ht="12.75" outlineLevel="2">
      <c r="A1055" s="645">
        <v>2141128040</v>
      </c>
      <c r="B1055" s="635" t="s">
        <v>1614</v>
      </c>
      <c r="C1055" s="635" t="s">
        <v>1420</v>
      </c>
      <c r="D1055" s="635"/>
      <c r="E1055" s="635" t="s">
        <v>1494</v>
      </c>
      <c r="F1055" s="465" t="s">
        <v>96</v>
      </c>
      <c r="G1055" s="466">
        <v>0</v>
      </c>
      <c r="H1055" s="466">
        <v>6.69</v>
      </c>
      <c r="I1055" s="467">
        <v>6.688</v>
      </c>
      <c r="J1055" s="468">
        <v>0</v>
      </c>
    </row>
    <row r="1056" spans="1:10" ht="12.75" outlineLevel="2">
      <c r="A1056" s="645">
        <v>2141128041</v>
      </c>
      <c r="B1056" s="635" t="s">
        <v>1615</v>
      </c>
      <c r="C1056" s="635" t="s">
        <v>1423</v>
      </c>
      <c r="D1056" s="635"/>
      <c r="E1056" s="635" t="s">
        <v>1494</v>
      </c>
      <c r="F1056" s="465" t="s">
        <v>96</v>
      </c>
      <c r="G1056" s="466">
        <v>0</v>
      </c>
      <c r="H1056" s="466">
        <v>5.542</v>
      </c>
      <c r="I1056" s="467">
        <v>5.541</v>
      </c>
      <c r="J1056" s="468">
        <v>0</v>
      </c>
    </row>
    <row r="1057" spans="1:10" ht="12.75" outlineLevel="2">
      <c r="A1057" s="645">
        <v>2141128042</v>
      </c>
      <c r="B1057" s="635" t="s">
        <v>1616</v>
      </c>
      <c r="C1057" s="635" t="s">
        <v>1423</v>
      </c>
      <c r="D1057" s="635"/>
      <c r="E1057" s="635" t="s">
        <v>1494</v>
      </c>
      <c r="F1057" s="465" t="s">
        <v>96</v>
      </c>
      <c r="G1057" s="466">
        <v>0</v>
      </c>
      <c r="H1057" s="466">
        <v>6.365</v>
      </c>
      <c r="I1057" s="467">
        <v>6.364</v>
      </c>
      <c r="J1057" s="468">
        <v>0</v>
      </c>
    </row>
    <row r="1058" spans="1:10" ht="12.75" outlineLevel="2">
      <c r="A1058" s="645">
        <v>2141128043</v>
      </c>
      <c r="B1058" s="635" t="s">
        <v>1617</v>
      </c>
      <c r="C1058" s="635" t="s">
        <v>1423</v>
      </c>
      <c r="D1058" s="635"/>
      <c r="E1058" s="635" t="s">
        <v>1494</v>
      </c>
      <c r="F1058" s="465" t="s">
        <v>96</v>
      </c>
      <c r="G1058" s="466">
        <v>0</v>
      </c>
      <c r="H1058" s="466">
        <v>6.169</v>
      </c>
      <c r="I1058" s="467">
        <v>6.168</v>
      </c>
      <c r="J1058" s="468">
        <v>0</v>
      </c>
    </row>
    <row r="1059" spans="1:10" ht="12.75" outlineLevel="2">
      <c r="A1059" s="645">
        <v>2141128044</v>
      </c>
      <c r="B1059" s="635" t="s">
        <v>1618</v>
      </c>
      <c r="C1059" s="635" t="s">
        <v>1423</v>
      </c>
      <c r="D1059" s="635"/>
      <c r="E1059" s="635" t="s">
        <v>1494</v>
      </c>
      <c r="F1059" s="465" t="s">
        <v>96</v>
      </c>
      <c r="G1059" s="466">
        <v>0</v>
      </c>
      <c r="H1059" s="466">
        <v>6.399</v>
      </c>
      <c r="I1059" s="467">
        <v>6.398</v>
      </c>
      <c r="J1059" s="468">
        <v>0</v>
      </c>
    </row>
    <row r="1060" spans="1:10" ht="12.75" outlineLevel="2">
      <c r="A1060" s="645">
        <v>2141128045</v>
      </c>
      <c r="B1060" s="635" t="s">
        <v>1619</v>
      </c>
      <c r="C1060" s="635" t="s">
        <v>1423</v>
      </c>
      <c r="D1060" s="635"/>
      <c r="E1060" s="635" t="s">
        <v>1494</v>
      </c>
      <c r="F1060" s="465" t="s">
        <v>96</v>
      </c>
      <c r="G1060" s="466">
        <v>0</v>
      </c>
      <c r="H1060" s="466">
        <v>7.433</v>
      </c>
      <c r="I1060" s="467">
        <v>7.433</v>
      </c>
      <c r="J1060" s="468">
        <v>0</v>
      </c>
    </row>
    <row r="1061" spans="1:10" ht="12.75" outlineLevel="2">
      <c r="A1061" s="645">
        <v>2141128046</v>
      </c>
      <c r="B1061" s="635" t="s">
        <v>1620</v>
      </c>
      <c r="C1061" s="635" t="s">
        <v>1423</v>
      </c>
      <c r="D1061" s="635"/>
      <c r="E1061" s="635" t="s">
        <v>1494</v>
      </c>
      <c r="F1061" s="465" t="s">
        <v>96</v>
      </c>
      <c r="G1061" s="466">
        <v>0</v>
      </c>
      <c r="H1061" s="466">
        <v>6.04</v>
      </c>
      <c r="I1061" s="467">
        <v>6.039</v>
      </c>
      <c r="J1061" s="468">
        <v>0</v>
      </c>
    </row>
    <row r="1062" spans="1:10" ht="12.75" outlineLevel="2">
      <c r="A1062" s="645">
        <v>2141128047</v>
      </c>
      <c r="B1062" s="635" t="s">
        <v>1621</v>
      </c>
      <c r="C1062" s="635" t="s">
        <v>1423</v>
      </c>
      <c r="D1062" s="635"/>
      <c r="E1062" s="635" t="s">
        <v>1494</v>
      </c>
      <c r="F1062" s="465" t="s">
        <v>96</v>
      </c>
      <c r="G1062" s="466">
        <v>0</v>
      </c>
      <c r="H1062" s="466">
        <v>5.388</v>
      </c>
      <c r="I1062" s="467">
        <v>5.388</v>
      </c>
      <c r="J1062" s="468">
        <v>0</v>
      </c>
    </row>
    <row r="1063" spans="1:10" ht="12.75" outlineLevel="2">
      <c r="A1063" s="645">
        <v>2141128048</v>
      </c>
      <c r="B1063" s="635" t="s">
        <v>1622</v>
      </c>
      <c r="C1063" s="635" t="s">
        <v>1423</v>
      </c>
      <c r="D1063" s="635"/>
      <c r="E1063" s="635" t="s">
        <v>1494</v>
      </c>
      <c r="F1063" s="465" t="s">
        <v>96</v>
      </c>
      <c r="G1063" s="466">
        <v>0</v>
      </c>
      <c r="H1063" s="466">
        <v>5.288</v>
      </c>
      <c r="I1063" s="467">
        <v>5.287</v>
      </c>
      <c r="J1063" s="468">
        <v>0</v>
      </c>
    </row>
    <row r="1064" spans="1:10" ht="12.75" outlineLevel="2">
      <c r="A1064" s="645">
        <v>2141128049</v>
      </c>
      <c r="B1064" s="635" t="s">
        <v>1623</v>
      </c>
      <c r="C1064" s="635" t="s">
        <v>1423</v>
      </c>
      <c r="D1064" s="635"/>
      <c r="E1064" s="635" t="s">
        <v>1494</v>
      </c>
      <c r="F1064" s="465" t="s">
        <v>96</v>
      </c>
      <c r="G1064" s="466">
        <v>0</v>
      </c>
      <c r="H1064" s="466">
        <v>5.942</v>
      </c>
      <c r="I1064" s="467">
        <v>5.942</v>
      </c>
      <c r="J1064" s="468">
        <v>0</v>
      </c>
    </row>
    <row r="1065" spans="1:10" ht="12.75" outlineLevel="2">
      <c r="A1065" s="645">
        <v>2141128050</v>
      </c>
      <c r="B1065" s="635" t="s">
        <v>1624</v>
      </c>
      <c r="C1065" s="635" t="s">
        <v>1423</v>
      </c>
      <c r="D1065" s="635"/>
      <c r="E1065" s="635" t="s">
        <v>1494</v>
      </c>
      <c r="F1065" s="465" t="s">
        <v>96</v>
      </c>
      <c r="G1065" s="466">
        <v>0</v>
      </c>
      <c r="H1065" s="466">
        <v>7.576</v>
      </c>
      <c r="I1065" s="467">
        <v>7.575</v>
      </c>
      <c r="J1065" s="468">
        <v>0</v>
      </c>
    </row>
    <row r="1066" spans="1:10" ht="12.75" outlineLevel="2">
      <c r="A1066" s="645">
        <v>2141128051</v>
      </c>
      <c r="B1066" s="635" t="s">
        <v>1625</v>
      </c>
      <c r="C1066" s="635" t="s">
        <v>1422</v>
      </c>
      <c r="D1066" s="635"/>
      <c r="E1066" s="635" t="s">
        <v>1494</v>
      </c>
      <c r="F1066" s="465" t="s">
        <v>96</v>
      </c>
      <c r="G1066" s="466">
        <v>0</v>
      </c>
      <c r="H1066" s="466">
        <v>0.643</v>
      </c>
      <c r="I1066" s="467">
        <v>0.643</v>
      </c>
      <c r="J1066" s="468">
        <v>0</v>
      </c>
    </row>
    <row r="1067" spans="1:10" ht="12.75" outlineLevel="2">
      <c r="A1067" s="645">
        <v>2141128052</v>
      </c>
      <c r="B1067" s="635" t="s">
        <v>1626</v>
      </c>
      <c r="C1067" s="635" t="s">
        <v>1422</v>
      </c>
      <c r="D1067" s="635"/>
      <c r="E1067" s="635" t="s">
        <v>1494</v>
      </c>
      <c r="F1067" s="465" t="s">
        <v>333</v>
      </c>
      <c r="G1067" s="466">
        <v>0</v>
      </c>
      <c r="H1067" s="466">
        <v>0</v>
      </c>
      <c r="I1067" s="467">
        <v>0.128</v>
      </c>
      <c r="J1067" s="468">
        <v>0</v>
      </c>
    </row>
    <row r="1068" spans="1:10" ht="12.75" outlineLevel="2">
      <c r="A1068" s="645">
        <v>2141128053</v>
      </c>
      <c r="B1068" s="635" t="s">
        <v>1627</v>
      </c>
      <c r="C1068" s="635" t="s">
        <v>1425</v>
      </c>
      <c r="D1068" s="635"/>
      <c r="E1068" s="635" t="s">
        <v>1494</v>
      </c>
      <c r="F1068" s="465" t="s">
        <v>1845</v>
      </c>
      <c r="G1068" s="466">
        <v>0</v>
      </c>
      <c r="H1068" s="466">
        <v>0.308</v>
      </c>
      <c r="I1068" s="467">
        <v>0.306</v>
      </c>
      <c r="J1068" s="468">
        <v>0</v>
      </c>
    </row>
    <row r="1069" spans="1:10" ht="12.75" outlineLevel="2">
      <c r="A1069" s="645">
        <v>2141128053</v>
      </c>
      <c r="B1069" s="635" t="s">
        <v>1627</v>
      </c>
      <c r="C1069" s="635" t="s">
        <v>1425</v>
      </c>
      <c r="D1069" s="635"/>
      <c r="E1069" s="635" t="s">
        <v>1494</v>
      </c>
      <c r="F1069" s="465" t="s">
        <v>96</v>
      </c>
      <c r="G1069" s="466">
        <v>0</v>
      </c>
      <c r="H1069" s="466">
        <v>3.196</v>
      </c>
      <c r="I1069" s="467">
        <v>3.178</v>
      </c>
      <c r="J1069" s="468">
        <v>0.018</v>
      </c>
    </row>
    <row r="1070" spans="1:10" ht="12.75" outlineLevel="2">
      <c r="A1070" s="645">
        <v>2141128054</v>
      </c>
      <c r="B1070" s="635" t="s">
        <v>1628</v>
      </c>
      <c r="C1070" s="635" t="s">
        <v>1425</v>
      </c>
      <c r="D1070" s="635"/>
      <c r="E1070" s="635" t="s">
        <v>1494</v>
      </c>
      <c r="F1070" s="465" t="s">
        <v>1845</v>
      </c>
      <c r="G1070" s="466">
        <v>0</v>
      </c>
      <c r="H1070" s="466">
        <v>0.286</v>
      </c>
      <c r="I1070" s="467">
        <v>0.285</v>
      </c>
      <c r="J1070" s="468">
        <v>0</v>
      </c>
    </row>
    <row r="1071" spans="1:10" ht="12.75" outlineLevel="2">
      <c r="A1071" s="645">
        <v>2141128054</v>
      </c>
      <c r="B1071" s="635" t="s">
        <v>1628</v>
      </c>
      <c r="C1071" s="635" t="s">
        <v>1425</v>
      </c>
      <c r="D1071" s="635"/>
      <c r="E1071" s="635" t="s">
        <v>1494</v>
      </c>
      <c r="F1071" s="465" t="s">
        <v>96</v>
      </c>
      <c r="G1071" s="466">
        <v>0</v>
      </c>
      <c r="H1071" s="466">
        <v>0.551</v>
      </c>
      <c r="I1071" s="467">
        <v>0.49</v>
      </c>
      <c r="J1071" s="468">
        <v>0</v>
      </c>
    </row>
    <row r="1072" spans="1:10" ht="12.75" outlineLevel="2">
      <c r="A1072" s="645">
        <v>2141128055</v>
      </c>
      <c r="B1072" s="635" t="s">
        <v>1629</v>
      </c>
      <c r="C1072" s="635" t="s">
        <v>1425</v>
      </c>
      <c r="D1072" s="635"/>
      <c r="E1072" s="635" t="s">
        <v>1494</v>
      </c>
      <c r="F1072" s="465" t="s">
        <v>1845</v>
      </c>
      <c r="G1072" s="466">
        <v>0</v>
      </c>
      <c r="H1072" s="466">
        <v>0.177</v>
      </c>
      <c r="I1072" s="467">
        <v>0.177</v>
      </c>
      <c r="J1072" s="468">
        <v>0</v>
      </c>
    </row>
    <row r="1073" spans="1:10" ht="12.75" outlineLevel="2">
      <c r="A1073" s="645">
        <v>2141128055</v>
      </c>
      <c r="B1073" s="635" t="s">
        <v>1629</v>
      </c>
      <c r="C1073" s="635" t="s">
        <v>1425</v>
      </c>
      <c r="D1073" s="635"/>
      <c r="E1073" s="635" t="s">
        <v>1494</v>
      </c>
      <c r="F1073" s="465" t="s">
        <v>96</v>
      </c>
      <c r="G1073" s="466">
        <v>0</v>
      </c>
      <c r="H1073" s="466">
        <v>1.751</v>
      </c>
      <c r="I1073" s="467">
        <v>1.724</v>
      </c>
      <c r="J1073" s="468">
        <v>0.026</v>
      </c>
    </row>
    <row r="1074" spans="1:10" ht="12.75" outlineLevel="2">
      <c r="A1074" s="645">
        <v>2141128056</v>
      </c>
      <c r="B1074" s="635" t="s">
        <v>1630</v>
      </c>
      <c r="C1074" s="635" t="s">
        <v>1425</v>
      </c>
      <c r="D1074" s="635"/>
      <c r="E1074" s="635" t="s">
        <v>1494</v>
      </c>
      <c r="F1074" s="465" t="s">
        <v>1845</v>
      </c>
      <c r="G1074" s="466">
        <v>0</v>
      </c>
      <c r="H1074" s="466">
        <v>0.268</v>
      </c>
      <c r="I1074" s="467">
        <v>0.267</v>
      </c>
      <c r="J1074" s="468">
        <v>0</v>
      </c>
    </row>
    <row r="1075" spans="1:10" ht="12.75" outlineLevel="2">
      <c r="A1075" s="645">
        <v>2141128056</v>
      </c>
      <c r="B1075" s="635" t="s">
        <v>1630</v>
      </c>
      <c r="C1075" s="635" t="s">
        <v>1425</v>
      </c>
      <c r="D1075" s="635"/>
      <c r="E1075" s="635" t="s">
        <v>1494</v>
      </c>
      <c r="F1075" s="465" t="s">
        <v>96</v>
      </c>
      <c r="G1075" s="466">
        <v>0</v>
      </c>
      <c r="H1075" s="466">
        <v>0.758</v>
      </c>
      <c r="I1075" s="467">
        <v>0.749</v>
      </c>
      <c r="J1075" s="468">
        <v>0.009</v>
      </c>
    </row>
    <row r="1076" spans="1:10" ht="12.75" outlineLevel="2">
      <c r="A1076" s="645">
        <v>2141128057</v>
      </c>
      <c r="B1076" s="635" t="s">
        <v>1631</v>
      </c>
      <c r="C1076" s="635" t="s">
        <v>1425</v>
      </c>
      <c r="D1076" s="635"/>
      <c r="E1076" s="635" t="s">
        <v>1494</v>
      </c>
      <c r="F1076" s="465" t="s">
        <v>1845</v>
      </c>
      <c r="G1076" s="466">
        <v>0</v>
      </c>
      <c r="H1076" s="466">
        <v>0.204</v>
      </c>
      <c r="I1076" s="467">
        <v>0.202</v>
      </c>
      <c r="J1076" s="468">
        <v>0</v>
      </c>
    </row>
    <row r="1077" spans="1:10" ht="12.75" outlineLevel="2">
      <c r="A1077" s="645">
        <v>2141128057</v>
      </c>
      <c r="B1077" s="635" t="s">
        <v>1631</v>
      </c>
      <c r="C1077" s="635" t="s">
        <v>1425</v>
      </c>
      <c r="D1077" s="635"/>
      <c r="E1077" s="635" t="s">
        <v>1494</v>
      </c>
      <c r="F1077" s="465" t="s">
        <v>96</v>
      </c>
      <c r="G1077" s="466">
        <v>0</v>
      </c>
      <c r="H1077" s="466">
        <v>3.601</v>
      </c>
      <c r="I1077" s="467">
        <v>3.593</v>
      </c>
      <c r="J1077" s="468">
        <v>0.008</v>
      </c>
    </row>
    <row r="1078" spans="1:10" ht="12.75" outlineLevel="2">
      <c r="A1078" s="645">
        <v>2141128058</v>
      </c>
      <c r="B1078" s="635" t="s">
        <v>1632</v>
      </c>
      <c r="C1078" s="635" t="s">
        <v>1425</v>
      </c>
      <c r="D1078" s="635"/>
      <c r="E1078" s="635" t="s">
        <v>1494</v>
      </c>
      <c r="F1078" s="465" t="s">
        <v>1845</v>
      </c>
      <c r="G1078" s="466">
        <v>0</v>
      </c>
      <c r="H1078" s="466">
        <v>0.078</v>
      </c>
      <c r="I1078" s="467">
        <v>0.076</v>
      </c>
      <c r="J1078" s="468">
        <v>0</v>
      </c>
    </row>
    <row r="1079" spans="1:10" ht="12.75" outlineLevel="2">
      <c r="A1079" s="645">
        <v>2141128058</v>
      </c>
      <c r="B1079" s="635" t="s">
        <v>1632</v>
      </c>
      <c r="C1079" s="635" t="s">
        <v>1425</v>
      </c>
      <c r="D1079" s="635"/>
      <c r="E1079" s="635" t="s">
        <v>1494</v>
      </c>
      <c r="F1079" s="465" t="s">
        <v>96</v>
      </c>
      <c r="G1079" s="466">
        <v>0</v>
      </c>
      <c r="H1079" s="466">
        <v>1.236</v>
      </c>
      <c r="I1079" s="467">
        <v>1.22</v>
      </c>
      <c r="J1079" s="468">
        <v>0.016</v>
      </c>
    </row>
    <row r="1080" spans="1:10" ht="12.75" outlineLevel="2">
      <c r="A1080" s="645">
        <v>2141128059</v>
      </c>
      <c r="B1080" s="635" t="s">
        <v>1633</v>
      </c>
      <c r="C1080" s="635" t="s">
        <v>1425</v>
      </c>
      <c r="D1080" s="635"/>
      <c r="E1080" s="635" t="s">
        <v>1494</v>
      </c>
      <c r="F1080" s="465" t="s">
        <v>1845</v>
      </c>
      <c r="G1080" s="466">
        <v>0</v>
      </c>
      <c r="H1080" s="466">
        <v>0.182</v>
      </c>
      <c r="I1080" s="467">
        <v>0.18</v>
      </c>
      <c r="J1080" s="468">
        <v>0</v>
      </c>
    </row>
    <row r="1081" spans="1:10" ht="12.75" outlineLevel="2">
      <c r="A1081" s="645">
        <v>2141128059</v>
      </c>
      <c r="B1081" s="635" t="s">
        <v>1633</v>
      </c>
      <c r="C1081" s="635" t="s">
        <v>1425</v>
      </c>
      <c r="D1081" s="635"/>
      <c r="E1081" s="635" t="s">
        <v>1494</v>
      </c>
      <c r="F1081" s="465" t="s">
        <v>96</v>
      </c>
      <c r="G1081" s="466">
        <v>0</v>
      </c>
      <c r="H1081" s="466">
        <v>0.654</v>
      </c>
      <c r="I1081" s="467">
        <v>0.652</v>
      </c>
      <c r="J1081" s="468">
        <v>0</v>
      </c>
    </row>
    <row r="1082" spans="1:10" ht="12.75" outlineLevel="2">
      <c r="A1082" s="645">
        <v>2141128060</v>
      </c>
      <c r="B1082" s="635" t="s">
        <v>1634</v>
      </c>
      <c r="C1082" s="635" t="s">
        <v>1425</v>
      </c>
      <c r="D1082" s="635"/>
      <c r="E1082" s="635" t="s">
        <v>1494</v>
      </c>
      <c r="F1082" s="465" t="s">
        <v>1845</v>
      </c>
      <c r="G1082" s="466">
        <v>0</v>
      </c>
      <c r="H1082" s="466">
        <v>0.313</v>
      </c>
      <c r="I1082" s="467">
        <v>0.311</v>
      </c>
      <c r="J1082" s="468">
        <v>0</v>
      </c>
    </row>
    <row r="1083" spans="1:10" ht="12.75" outlineLevel="2">
      <c r="A1083" s="645">
        <v>2141128060</v>
      </c>
      <c r="B1083" s="635" t="s">
        <v>1634</v>
      </c>
      <c r="C1083" s="635" t="s">
        <v>1425</v>
      </c>
      <c r="D1083" s="635"/>
      <c r="E1083" s="635" t="s">
        <v>1494</v>
      </c>
      <c r="F1083" s="465" t="s">
        <v>96</v>
      </c>
      <c r="G1083" s="466">
        <v>0</v>
      </c>
      <c r="H1083" s="466">
        <v>1.253</v>
      </c>
      <c r="I1083" s="467">
        <v>1.245</v>
      </c>
      <c r="J1083" s="468">
        <v>0.008</v>
      </c>
    </row>
    <row r="1084" spans="1:10" ht="12.75" outlineLevel="2">
      <c r="A1084" s="645">
        <v>2141128061</v>
      </c>
      <c r="B1084" s="635" t="s">
        <v>1635</v>
      </c>
      <c r="C1084" s="635" t="s">
        <v>1425</v>
      </c>
      <c r="D1084" s="635"/>
      <c r="E1084" s="635" t="s">
        <v>1494</v>
      </c>
      <c r="F1084" s="465" t="s">
        <v>1845</v>
      </c>
      <c r="G1084" s="466">
        <v>0</v>
      </c>
      <c r="H1084" s="466">
        <v>0.332</v>
      </c>
      <c r="I1084" s="467">
        <v>0.331</v>
      </c>
      <c r="J1084" s="468">
        <v>0</v>
      </c>
    </row>
    <row r="1085" spans="1:10" ht="12.75" outlineLevel="2">
      <c r="A1085" s="645">
        <v>2141128061</v>
      </c>
      <c r="B1085" s="635" t="s">
        <v>1635</v>
      </c>
      <c r="C1085" s="635" t="s">
        <v>1425</v>
      </c>
      <c r="D1085" s="635"/>
      <c r="E1085" s="635" t="s">
        <v>1494</v>
      </c>
      <c r="F1085" s="465" t="s">
        <v>96</v>
      </c>
      <c r="G1085" s="466">
        <v>0</v>
      </c>
      <c r="H1085" s="466">
        <v>0.94</v>
      </c>
      <c r="I1085" s="467">
        <v>0.933</v>
      </c>
      <c r="J1085" s="468">
        <v>0.007</v>
      </c>
    </row>
    <row r="1086" spans="1:10" ht="12.75" outlineLevel="2">
      <c r="A1086" s="645">
        <v>2141128062</v>
      </c>
      <c r="B1086" s="635" t="s">
        <v>1636</v>
      </c>
      <c r="C1086" s="635" t="s">
        <v>1425</v>
      </c>
      <c r="D1086" s="635"/>
      <c r="E1086" s="635" t="s">
        <v>1494</v>
      </c>
      <c r="F1086" s="465" t="s">
        <v>1845</v>
      </c>
      <c r="G1086" s="466">
        <v>0</v>
      </c>
      <c r="H1086" s="466">
        <v>0.507</v>
      </c>
      <c r="I1086" s="467">
        <v>0.506</v>
      </c>
      <c r="J1086" s="468">
        <v>0</v>
      </c>
    </row>
    <row r="1087" spans="1:10" ht="12.75" outlineLevel="2">
      <c r="A1087" s="645">
        <v>2141128062</v>
      </c>
      <c r="B1087" s="635" t="s">
        <v>1636</v>
      </c>
      <c r="C1087" s="635" t="s">
        <v>1425</v>
      </c>
      <c r="D1087" s="635"/>
      <c r="E1087" s="635" t="s">
        <v>1494</v>
      </c>
      <c r="F1087" s="465" t="s">
        <v>96</v>
      </c>
      <c r="G1087" s="466">
        <v>0</v>
      </c>
      <c r="H1087" s="466">
        <v>2.745</v>
      </c>
      <c r="I1087" s="467">
        <v>2.742</v>
      </c>
      <c r="J1087" s="468">
        <v>0</v>
      </c>
    </row>
    <row r="1088" spans="1:10" ht="12.75" outlineLevel="2">
      <c r="A1088" s="645">
        <v>2141128063</v>
      </c>
      <c r="B1088" s="635" t="s">
        <v>1637</v>
      </c>
      <c r="C1088" s="635" t="s">
        <v>1425</v>
      </c>
      <c r="D1088" s="635"/>
      <c r="E1088" s="635" t="s">
        <v>1494</v>
      </c>
      <c r="F1088" s="465" t="s">
        <v>1845</v>
      </c>
      <c r="G1088" s="466">
        <v>0</v>
      </c>
      <c r="H1088" s="466">
        <v>0.278</v>
      </c>
      <c r="I1088" s="467">
        <v>0.276</v>
      </c>
      <c r="J1088" s="468">
        <v>0</v>
      </c>
    </row>
    <row r="1089" spans="1:10" ht="12.75" outlineLevel="2">
      <c r="A1089" s="645">
        <v>2141128063</v>
      </c>
      <c r="B1089" s="635" t="s">
        <v>1637</v>
      </c>
      <c r="C1089" s="635" t="s">
        <v>1425</v>
      </c>
      <c r="D1089" s="635"/>
      <c r="E1089" s="635" t="s">
        <v>1494</v>
      </c>
      <c r="F1089" s="465" t="s">
        <v>96</v>
      </c>
      <c r="G1089" s="466">
        <v>0</v>
      </c>
      <c r="H1089" s="466">
        <v>2.889</v>
      </c>
      <c r="I1089" s="467">
        <v>2.878</v>
      </c>
      <c r="J1089" s="468">
        <v>0.011</v>
      </c>
    </row>
    <row r="1090" spans="1:10" ht="12.75" outlineLevel="2">
      <c r="A1090" s="645">
        <v>2141128064</v>
      </c>
      <c r="B1090" s="635" t="s">
        <v>1638</v>
      </c>
      <c r="C1090" s="635" t="s">
        <v>1420</v>
      </c>
      <c r="D1090" s="635"/>
      <c r="E1090" s="635" t="s">
        <v>1494</v>
      </c>
      <c r="F1090" s="465" t="s">
        <v>96</v>
      </c>
      <c r="G1090" s="466">
        <v>0</v>
      </c>
      <c r="H1090" s="466">
        <v>9.54</v>
      </c>
      <c r="I1090" s="467">
        <v>9.539</v>
      </c>
      <c r="J1090" s="468">
        <v>0</v>
      </c>
    </row>
    <row r="1091" spans="1:10" ht="12.75" outlineLevel="2">
      <c r="A1091" s="645">
        <v>2141128065</v>
      </c>
      <c r="B1091" s="635" t="s">
        <v>1639</v>
      </c>
      <c r="C1091" s="635" t="s">
        <v>1422</v>
      </c>
      <c r="D1091" s="635"/>
      <c r="E1091" s="635" t="s">
        <v>1494</v>
      </c>
      <c r="F1091" s="465" t="s">
        <v>1845</v>
      </c>
      <c r="G1091" s="466">
        <v>0</v>
      </c>
      <c r="H1091" s="466">
        <v>30.33</v>
      </c>
      <c r="I1091" s="467">
        <v>30.33</v>
      </c>
      <c r="J1091" s="468">
        <v>0</v>
      </c>
    </row>
    <row r="1092" spans="1:10" ht="12.75" outlineLevel="2">
      <c r="A1092" s="645">
        <v>2141128066</v>
      </c>
      <c r="B1092" s="635" t="s">
        <v>1639</v>
      </c>
      <c r="C1092" s="635" t="s">
        <v>1428</v>
      </c>
      <c r="D1092" s="635"/>
      <c r="E1092" s="635" t="s">
        <v>1494</v>
      </c>
      <c r="F1092" s="465" t="s">
        <v>1845</v>
      </c>
      <c r="G1092" s="466">
        <v>0</v>
      </c>
      <c r="H1092" s="466">
        <v>4.062</v>
      </c>
      <c r="I1092" s="467">
        <v>4.062</v>
      </c>
      <c r="J1092" s="468">
        <v>0</v>
      </c>
    </row>
    <row r="1093" spans="1:10" ht="12.75" outlineLevel="2">
      <c r="A1093" s="645">
        <v>2141128067</v>
      </c>
      <c r="B1093" s="635" t="s">
        <v>1639</v>
      </c>
      <c r="C1093" s="635" t="s">
        <v>791</v>
      </c>
      <c r="D1093" s="635"/>
      <c r="E1093" s="635" t="s">
        <v>1494</v>
      </c>
      <c r="F1093" s="465" t="s">
        <v>1845</v>
      </c>
      <c r="G1093" s="466">
        <v>0</v>
      </c>
      <c r="H1093" s="466">
        <v>20.277</v>
      </c>
      <c r="I1093" s="467">
        <v>20.277</v>
      </c>
      <c r="J1093" s="468">
        <v>0</v>
      </c>
    </row>
    <row r="1094" spans="1:10" ht="12.75" outlineLevel="2">
      <c r="A1094" s="645">
        <v>2141128068</v>
      </c>
      <c r="B1094" s="635" t="s">
        <v>1639</v>
      </c>
      <c r="C1094" s="635" t="s">
        <v>1424</v>
      </c>
      <c r="D1094" s="635"/>
      <c r="E1094" s="635" t="s">
        <v>1494</v>
      </c>
      <c r="F1094" s="465" t="s">
        <v>1845</v>
      </c>
      <c r="G1094" s="466">
        <v>0</v>
      </c>
      <c r="H1094" s="466">
        <v>12.921</v>
      </c>
      <c r="I1094" s="467">
        <v>12.858</v>
      </c>
      <c r="J1094" s="468">
        <v>0</v>
      </c>
    </row>
    <row r="1095" spans="1:10" ht="12.75" outlineLevel="2">
      <c r="A1095" s="645">
        <v>2141128069</v>
      </c>
      <c r="B1095" s="635" t="s">
        <v>1640</v>
      </c>
      <c r="C1095" s="635" t="s">
        <v>1424</v>
      </c>
      <c r="D1095" s="635"/>
      <c r="E1095" s="635" t="s">
        <v>1494</v>
      </c>
      <c r="F1095" s="465" t="s">
        <v>96</v>
      </c>
      <c r="G1095" s="466">
        <v>0</v>
      </c>
      <c r="H1095" s="466">
        <v>1.343</v>
      </c>
      <c r="I1095" s="467">
        <v>1.342</v>
      </c>
      <c r="J1095" s="468">
        <v>0</v>
      </c>
    </row>
    <row r="1096" spans="1:10" ht="12.75" outlineLevel="2">
      <c r="A1096" s="645">
        <v>2141128070</v>
      </c>
      <c r="B1096" s="635" t="s">
        <v>1641</v>
      </c>
      <c r="C1096" s="635" t="s">
        <v>1424</v>
      </c>
      <c r="D1096" s="635"/>
      <c r="E1096" s="635" t="s">
        <v>1494</v>
      </c>
      <c r="F1096" s="465" t="s">
        <v>1845</v>
      </c>
      <c r="G1096" s="466">
        <v>0</v>
      </c>
      <c r="H1096" s="466">
        <v>1.306</v>
      </c>
      <c r="I1096" s="467">
        <v>1.287</v>
      </c>
      <c r="J1096" s="468">
        <v>0.019</v>
      </c>
    </row>
    <row r="1097" spans="1:10" ht="12.75" outlineLevel="2">
      <c r="A1097" s="645">
        <v>2141128070</v>
      </c>
      <c r="B1097" s="635" t="s">
        <v>1641</v>
      </c>
      <c r="C1097" s="635" t="s">
        <v>1424</v>
      </c>
      <c r="D1097" s="635"/>
      <c r="E1097" s="635" t="s">
        <v>1494</v>
      </c>
      <c r="F1097" s="465" t="s">
        <v>96</v>
      </c>
      <c r="G1097" s="466">
        <v>0</v>
      </c>
      <c r="H1097" s="466">
        <v>1.143</v>
      </c>
      <c r="I1097" s="467">
        <v>1.141</v>
      </c>
      <c r="J1097" s="468">
        <v>0</v>
      </c>
    </row>
    <row r="1098" spans="1:10" ht="12.75" outlineLevel="2">
      <c r="A1098" s="645">
        <v>2141128071</v>
      </c>
      <c r="B1098" s="635" t="s">
        <v>1642</v>
      </c>
      <c r="C1098" s="635" t="s">
        <v>1424</v>
      </c>
      <c r="D1098" s="635"/>
      <c r="E1098" s="635" t="s">
        <v>1494</v>
      </c>
      <c r="F1098" s="465" t="s">
        <v>1845</v>
      </c>
      <c r="G1098" s="466">
        <v>0</v>
      </c>
      <c r="H1098" s="466">
        <v>0.219</v>
      </c>
      <c r="I1098" s="467">
        <v>0.218</v>
      </c>
      <c r="J1098" s="468">
        <v>0</v>
      </c>
    </row>
    <row r="1099" spans="1:10" ht="12.75" outlineLevel="2">
      <c r="A1099" s="645">
        <v>2141128071</v>
      </c>
      <c r="B1099" s="635" t="s">
        <v>1642</v>
      </c>
      <c r="C1099" s="635" t="s">
        <v>1424</v>
      </c>
      <c r="D1099" s="635"/>
      <c r="E1099" s="635" t="s">
        <v>1494</v>
      </c>
      <c r="F1099" s="465" t="s">
        <v>96</v>
      </c>
      <c r="G1099" s="466">
        <v>0</v>
      </c>
      <c r="H1099" s="466">
        <v>1.921</v>
      </c>
      <c r="I1099" s="467">
        <v>1.919</v>
      </c>
      <c r="J1099" s="468">
        <v>0</v>
      </c>
    </row>
    <row r="1100" spans="1:10" ht="12.75" outlineLevel="2">
      <c r="A1100" s="645">
        <v>2141128072</v>
      </c>
      <c r="B1100" s="635" t="s">
        <v>1643</v>
      </c>
      <c r="C1100" s="635" t="s">
        <v>1424</v>
      </c>
      <c r="D1100" s="635"/>
      <c r="E1100" s="635" t="s">
        <v>1494</v>
      </c>
      <c r="F1100" s="465" t="s">
        <v>1845</v>
      </c>
      <c r="G1100" s="466">
        <v>0</v>
      </c>
      <c r="H1100" s="466">
        <v>0.033</v>
      </c>
      <c r="I1100" s="467">
        <v>0.032</v>
      </c>
      <c r="J1100" s="468">
        <v>0</v>
      </c>
    </row>
    <row r="1101" spans="1:10" ht="12.75" outlineLevel="2">
      <c r="A1101" s="645">
        <v>2141128072</v>
      </c>
      <c r="B1101" s="635" t="s">
        <v>1643</v>
      </c>
      <c r="C1101" s="635" t="s">
        <v>1424</v>
      </c>
      <c r="D1101" s="635"/>
      <c r="E1101" s="635" t="s">
        <v>1494</v>
      </c>
      <c r="F1101" s="465" t="s">
        <v>96</v>
      </c>
      <c r="G1101" s="466">
        <v>0</v>
      </c>
      <c r="H1101" s="466">
        <v>2.351</v>
      </c>
      <c r="I1101" s="467">
        <v>2.349</v>
      </c>
      <c r="J1101" s="468">
        <v>0</v>
      </c>
    </row>
    <row r="1102" spans="1:10" ht="12.75" outlineLevel="2">
      <c r="A1102" s="645">
        <v>2141128073</v>
      </c>
      <c r="B1102" s="635" t="s">
        <v>1644</v>
      </c>
      <c r="C1102" s="635" t="s">
        <v>1424</v>
      </c>
      <c r="D1102" s="635"/>
      <c r="E1102" s="635" t="s">
        <v>1494</v>
      </c>
      <c r="F1102" s="465" t="s">
        <v>1845</v>
      </c>
      <c r="G1102" s="466">
        <v>0</v>
      </c>
      <c r="H1102" s="466">
        <v>0.199</v>
      </c>
      <c r="I1102" s="467">
        <v>0.198</v>
      </c>
      <c r="J1102" s="468">
        <v>0</v>
      </c>
    </row>
    <row r="1103" spans="1:10" ht="12.75" outlineLevel="2">
      <c r="A1103" s="645">
        <v>2141128073</v>
      </c>
      <c r="B1103" s="635" t="s">
        <v>1644</v>
      </c>
      <c r="C1103" s="635" t="s">
        <v>1424</v>
      </c>
      <c r="D1103" s="635"/>
      <c r="E1103" s="635" t="s">
        <v>1494</v>
      </c>
      <c r="F1103" s="465" t="s">
        <v>96</v>
      </c>
      <c r="G1103" s="466">
        <v>0</v>
      </c>
      <c r="H1103" s="466">
        <v>3.1</v>
      </c>
      <c r="I1103" s="467">
        <v>3.099</v>
      </c>
      <c r="J1103" s="468">
        <v>0</v>
      </c>
    </row>
    <row r="1104" spans="1:10" ht="12.75" outlineLevel="2">
      <c r="A1104" s="645">
        <v>2141128074</v>
      </c>
      <c r="B1104" s="635" t="s">
        <v>1645</v>
      </c>
      <c r="C1104" s="635" t="s">
        <v>1424</v>
      </c>
      <c r="D1104" s="635"/>
      <c r="E1104" s="635" t="s">
        <v>1494</v>
      </c>
      <c r="F1104" s="465" t="s">
        <v>1845</v>
      </c>
      <c r="G1104" s="466">
        <v>0</v>
      </c>
      <c r="H1104" s="466">
        <v>0.033</v>
      </c>
      <c r="I1104" s="467">
        <v>0.033</v>
      </c>
      <c r="J1104" s="468">
        <v>0</v>
      </c>
    </row>
    <row r="1105" spans="1:10" ht="12.75" outlineLevel="2">
      <c r="A1105" s="645">
        <v>2141128074</v>
      </c>
      <c r="B1105" s="635" t="s">
        <v>1645</v>
      </c>
      <c r="C1105" s="635" t="s">
        <v>1424</v>
      </c>
      <c r="D1105" s="635"/>
      <c r="E1105" s="635" t="s">
        <v>1494</v>
      </c>
      <c r="F1105" s="465" t="s">
        <v>96</v>
      </c>
      <c r="G1105" s="466">
        <v>0</v>
      </c>
      <c r="H1105" s="466">
        <v>1.331</v>
      </c>
      <c r="I1105" s="467">
        <v>1.327</v>
      </c>
      <c r="J1105" s="468">
        <v>0</v>
      </c>
    </row>
    <row r="1106" spans="1:10" ht="12.75" outlineLevel="2">
      <c r="A1106" s="645">
        <v>2141128075</v>
      </c>
      <c r="B1106" s="635" t="s">
        <v>1646</v>
      </c>
      <c r="C1106" s="635" t="s">
        <v>1424</v>
      </c>
      <c r="D1106" s="635"/>
      <c r="E1106" s="635" t="s">
        <v>1494</v>
      </c>
      <c r="F1106" s="465" t="s">
        <v>1845</v>
      </c>
      <c r="G1106" s="466">
        <v>0</v>
      </c>
      <c r="H1106" s="466">
        <v>1.294</v>
      </c>
      <c r="I1106" s="467">
        <v>1.292</v>
      </c>
      <c r="J1106" s="468">
        <v>0</v>
      </c>
    </row>
    <row r="1107" spans="1:10" ht="12.75" outlineLevel="2">
      <c r="A1107" s="645">
        <v>2141128075</v>
      </c>
      <c r="B1107" s="635" t="s">
        <v>1646</v>
      </c>
      <c r="C1107" s="635" t="s">
        <v>1424</v>
      </c>
      <c r="D1107" s="635"/>
      <c r="E1107" s="635" t="s">
        <v>1494</v>
      </c>
      <c r="F1107" s="465" t="s">
        <v>96</v>
      </c>
      <c r="G1107" s="466">
        <v>0</v>
      </c>
      <c r="H1107" s="466">
        <v>2.196</v>
      </c>
      <c r="I1107" s="467">
        <v>2.195</v>
      </c>
      <c r="J1107" s="468">
        <v>0</v>
      </c>
    </row>
    <row r="1108" spans="1:10" ht="12.75" outlineLevel="2">
      <c r="A1108" s="645">
        <v>2141128076</v>
      </c>
      <c r="B1108" s="635" t="s">
        <v>1647</v>
      </c>
      <c r="C1108" s="635" t="s">
        <v>1424</v>
      </c>
      <c r="D1108" s="635"/>
      <c r="E1108" s="635" t="s">
        <v>1494</v>
      </c>
      <c r="F1108" s="465" t="s">
        <v>96</v>
      </c>
      <c r="G1108" s="466">
        <v>0</v>
      </c>
      <c r="H1108" s="466">
        <v>0.375</v>
      </c>
      <c r="I1108" s="467">
        <v>0.374</v>
      </c>
      <c r="J1108" s="468">
        <v>0</v>
      </c>
    </row>
    <row r="1109" spans="1:10" ht="12.75" outlineLevel="2">
      <c r="A1109" s="645">
        <v>2141128077</v>
      </c>
      <c r="B1109" s="635" t="s">
        <v>1648</v>
      </c>
      <c r="C1109" s="635" t="s">
        <v>1426</v>
      </c>
      <c r="D1109" s="635"/>
      <c r="E1109" s="635" t="s">
        <v>1494</v>
      </c>
      <c r="F1109" s="465" t="s">
        <v>1845</v>
      </c>
      <c r="G1109" s="466">
        <v>0</v>
      </c>
      <c r="H1109" s="466">
        <v>0.299</v>
      </c>
      <c r="I1109" s="467">
        <v>0.298</v>
      </c>
      <c r="J1109" s="468">
        <v>0</v>
      </c>
    </row>
    <row r="1110" spans="1:10" ht="12.75" outlineLevel="2">
      <c r="A1110" s="645">
        <v>2141128077</v>
      </c>
      <c r="B1110" s="635" t="s">
        <v>1648</v>
      </c>
      <c r="C1110" s="635" t="s">
        <v>1426</v>
      </c>
      <c r="D1110" s="635"/>
      <c r="E1110" s="635" t="s">
        <v>1494</v>
      </c>
      <c r="F1110" s="465" t="s">
        <v>96</v>
      </c>
      <c r="G1110" s="466">
        <v>0</v>
      </c>
      <c r="H1110" s="466">
        <v>4.391</v>
      </c>
      <c r="I1110" s="467">
        <v>4.39</v>
      </c>
      <c r="J1110" s="468">
        <v>0</v>
      </c>
    </row>
    <row r="1111" spans="1:10" ht="12.75" outlineLevel="2">
      <c r="A1111" s="645">
        <v>2141128078</v>
      </c>
      <c r="B1111" s="635" t="s">
        <v>1649</v>
      </c>
      <c r="C1111" s="635" t="s">
        <v>1426</v>
      </c>
      <c r="D1111" s="635"/>
      <c r="E1111" s="635" t="s">
        <v>1494</v>
      </c>
      <c r="F1111" s="465" t="s">
        <v>1845</v>
      </c>
      <c r="G1111" s="466">
        <v>0</v>
      </c>
      <c r="H1111" s="466">
        <v>0.034</v>
      </c>
      <c r="I1111" s="467">
        <v>0.034</v>
      </c>
      <c r="J1111" s="468">
        <v>0</v>
      </c>
    </row>
    <row r="1112" spans="1:10" ht="12.75" outlineLevel="2">
      <c r="A1112" s="645">
        <v>2141128079</v>
      </c>
      <c r="B1112" s="635" t="s">
        <v>1650</v>
      </c>
      <c r="C1112" s="635" t="s">
        <v>1426</v>
      </c>
      <c r="D1112" s="635"/>
      <c r="E1112" s="635" t="s">
        <v>1494</v>
      </c>
      <c r="F1112" s="465" t="s">
        <v>1845</v>
      </c>
      <c r="G1112" s="466">
        <v>0</v>
      </c>
      <c r="H1112" s="466">
        <v>0.084</v>
      </c>
      <c r="I1112" s="467">
        <v>0.084</v>
      </c>
      <c r="J1112" s="468">
        <v>0</v>
      </c>
    </row>
    <row r="1113" spans="1:10" ht="12.75" outlineLevel="2">
      <c r="A1113" s="645">
        <v>2141128079</v>
      </c>
      <c r="B1113" s="635" t="s">
        <v>1650</v>
      </c>
      <c r="C1113" s="635" t="s">
        <v>1426</v>
      </c>
      <c r="D1113" s="635"/>
      <c r="E1113" s="635" t="s">
        <v>1494</v>
      </c>
      <c r="F1113" s="465" t="s">
        <v>96</v>
      </c>
      <c r="G1113" s="466">
        <v>0</v>
      </c>
      <c r="H1113" s="466">
        <v>1.521</v>
      </c>
      <c r="I1113" s="467">
        <v>1.521</v>
      </c>
      <c r="J1113" s="468">
        <v>0</v>
      </c>
    </row>
    <row r="1114" spans="1:10" ht="12.75" outlineLevel="2">
      <c r="A1114" s="645">
        <v>2141128080</v>
      </c>
      <c r="B1114" s="635" t="s">
        <v>1651</v>
      </c>
      <c r="C1114" s="635" t="s">
        <v>1426</v>
      </c>
      <c r="D1114" s="635"/>
      <c r="E1114" s="635" t="s">
        <v>1494</v>
      </c>
      <c r="F1114" s="465" t="s">
        <v>1845</v>
      </c>
      <c r="G1114" s="466">
        <v>0</v>
      </c>
      <c r="H1114" s="466">
        <v>0.097</v>
      </c>
      <c r="I1114" s="467">
        <v>0.097</v>
      </c>
      <c r="J1114" s="468">
        <v>0</v>
      </c>
    </row>
    <row r="1115" spans="1:10" ht="12.75" outlineLevel="2">
      <c r="A1115" s="645">
        <v>2141128081</v>
      </c>
      <c r="B1115" s="635" t="s">
        <v>1652</v>
      </c>
      <c r="C1115" s="635" t="s">
        <v>1426</v>
      </c>
      <c r="D1115" s="635"/>
      <c r="E1115" s="635" t="s">
        <v>1494</v>
      </c>
      <c r="F1115" s="465" t="s">
        <v>1845</v>
      </c>
      <c r="G1115" s="466">
        <v>0</v>
      </c>
      <c r="H1115" s="466">
        <v>0.165</v>
      </c>
      <c r="I1115" s="467">
        <v>0.16</v>
      </c>
      <c r="J1115" s="468">
        <v>0</v>
      </c>
    </row>
    <row r="1116" spans="1:10" ht="12.75" outlineLevel="2">
      <c r="A1116" s="645">
        <v>2141128083</v>
      </c>
      <c r="B1116" s="635" t="s">
        <v>1653</v>
      </c>
      <c r="C1116" s="635" t="s">
        <v>1428</v>
      </c>
      <c r="D1116" s="635"/>
      <c r="E1116" s="635" t="s">
        <v>1494</v>
      </c>
      <c r="F1116" s="465" t="s">
        <v>96</v>
      </c>
      <c r="G1116" s="466">
        <v>0</v>
      </c>
      <c r="H1116" s="466">
        <v>3.984</v>
      </c>
      <c r="I1116" s="467">
        <v>3.984</v>
      </c>
      <c r="J1116" s="468">
        <v>0</v>
      </c>
    </row>
    <row r="1117" spans="1:10" ht="12.75" outlineLevel="2">
      <c r="A1117" s="645">
        <v>2141128084</v>
      </c>
      <c r="B1117" s="635" t="s">
        <v>1059</v>
      </c>
      <c r="C1117" s="635" t="s">
        <v>1426</v>
      </c>
      <c r="D1117" s="635"/>
      <c r="E1117" s="635" t="s">
        <v>1494</v>
      </c>
      <c r="F1117" s="465" t="s">
        <v>333</v>
      </c>
      <c r="G1117" s="466">
        <v>0</v>
      </c>
      <c r="H1117" s="466">
        <v>0</v>
      </c>
      <c r="I1117" s="467">
        <v>0.211</v>
      </c>
      <c r="J1117" s="468">
        <v>0</v>
      </c>
    </row>
    <row r="1118" spans="1:10" ht="12.75" outlineLevel="2">
      <c r="A1118" s="645">
        <v>2141128085</v>
      </c>
      <c r="B1118" s="635" t="s">
        <v>1060</v>
      </c>
      <c r="C1118" s="635" t="s">
        <v>1427</v>
      </c>
      <c r="D1118" s="635"/>
      <c r="E1118" s="635" t="s">
        <v>1494</v>
      </c>
      <c r="F1118" s="465" t="s">
        <v>96</v>
      </c>
      <c r="G1118" s="466">
        <v>0</v>
      </c>
      <c r="H1118" s="466">
        <v>5.006</v>
      </c>
      <c r="I1118" s="467">
        <v>3.507</v>
      </c>
      <c r="J1118" s="468">
        <v>1.499</v>
      </c>
    </row>
    <row r="1119" spans="1:10" ht="12.75" outlineLevel="2">
      <c r="A1119" s="645">
        <v>2141128086</v>
      </c>
      <c r="B1119" s="635" t="s">
        <v>1061</v>
      </c>
      <c r="C1119" s="635" t="s">
        <v>1427</v>
      </c>
      <c r="D1119" s="635"/>
      <c r="E1119" s="635" t="s">
        <v>1494</v>
      </c>
      <c r="F1119" s="465" t="s">
        <v>96</v>
      </c>
      <c r="G1119" s="466">
        <v>0</v>
      </c>
      <c r="H1119" s="466">
        <v>5.538</v>
      </c>
      <c r="I1119" s="467">
        <v>5.536</v>
      </c>
      <c r="J1119" s="468">
        <v>0</v>
      </c>
    </row>
    <row r="1120" spans="1:10" ht="12.75" outlineLevel="2">
      <c r="A1120" s="645">
        <v>2141128088</v>
      </c>
      <c r="B1120" s="635" t="s">
        <v>1062</v>
      </c>
      <c r="C1120" s="635" t="s">
        <v>1427</v>
      </c>
      <c r="D1120" s="635"/>
      <c r="E1120" s="635" t="s">
        <v>1494</v>
      </c>
      <c r="F1120" s="465" t="s">
        <v>96</v>
      </c>
      <c r="G1120" s="466">
        <v>0</v>
      </c>
      <c r="H1120" s="466">
        <v>3.466</v>
      </c>
      <c r="I1120" s="467">
        <v>2.465</v>
      </c>
      <c r="J1120" s="468">
        <v>1.001</v>
      </c>
    </row>
    <row r="1121" spans="1:10" ht="12.75" outlineLevel="2">
      <c r="A1121" s="645">
        <v>2141128089</v>
      </c>
      <c r="B1121" s="635" t="s">
        <v>1063</v>
      </c>
      <c r="C1121" s="635" t="s">
        <v>1427</v>
      </c>
      <c r="D1121" s="635"/>
      <c r="E1121" s="635" t="s">
        <v>1494</v>
      </c>
      <c r="F1121" s="465" t="s">
        <v>1845</v>
      </c>
      <c r="G1121" s="466">
        <v>0</v>
      </c>
      <c r="H1121" s="466">
        <v>39.075</v>
      </c>
      <c r="I1121" s="467">
        <v>36.92</v>
      </c>
      <c r="J1121" s="468">
        <v>2.155</v>
      </c>
    </row>
    <row r="1122" spans="1:10" ht="12.75" outlineLevel="2">
      <c r="A1122" s="645">
        <v>2141128090</v>
      </c>
      <c r="B1122" s="635" t="s">
        <v>1064</v>
      </c>
      <c r="C1122" s="635" t="s">
        <v>1420</v>
      </c>
      <c r="D1122" s="635"/>
      <c r="E1122" s="635" t="s">
        <v>1494</v>
      </c>
      <c r="F1122" s="465" t="s">
        <v>96</v>
      </c>
      <c r="G1122" s="466">
        <v>0</v>
      </c>
      <c r="H1122" s="466">
        <v>0.441</v>
      </c>
      <c r="I1122" s="467">
        <v>0.441</v>
      </c>
      <c r="J1122" s="468">
        <v>0</v>
      </c>
    </row>
    <row r="1123" spans="1:10" ht="12.75" outlineLevel="2">
      <c r="A1123" s="645">
        <v>2141128100</v>
      </c>
      <c r="B1123" s="635" t="s">
        <v>1065</v>
      </c>
      <c r="C1123" s="635" t="s">
        <v>1420</v>
      </c>
      <c r="D1123" s="635"/>
      <c r="E1123" s="635" t="s">
        <v>1494</v>
      </c>
      <c r="F1123" s="465" t="s">
        <v>96</v>
      </c>
      <c r="G1123" s="466">
        <v>0</v>
      </c>
      <c r="H1123" s="466">
        <v>0.25</v>
      </c>
      <c r="I1123" s="467">
        <v>0.249</v>
      </c>
      <c r="J1123" s="468">
        <v>0</v>
      </c>
    </row>
    <row r="1124" spans="1:10" ht="12.75" outlineLevel="2">
      <c r="A1124" s="645">
        <v>2141128101</v>
      </c>
      <c r="B1124" s="635" t="s">
        <v>1066</v>
      </c>
      <c r="C1124" s="635" t="s">
        <v>1424</v>
      </c>
      <c r="D1124" s="635"/>
      <c r="E1124" s="635" t="s">
        <v>1494</v>
      </c>
      <c r="F1124" s="465" t="s">
        <v>96</v>
      </c>
      <c r="G1124" s="466">
        <v>0</v>
      </c>
      <c r="H1124" s="466">
        <v>0.499</v>
      </c>
      <c r="I1124" s="467">
        <v>0.498</v>
      </c>
      <c r="J1124" s="468">
        <v>0</v>
      </c>
    </row>
    <row r="1125" spans="1:10" ht="12.75" outlineLevel="2">
      <c r="A1125" s="645">
        <v>2141128102</v>
      </c>
      <c r="B1125" s="635" t="s">
        <v>1067</v>
      </c>
      <c r="C1125" s="635" t="s">
        <v>1424</v>
      </c>
      <c r="D1125" s="635"/>
      <c r="E1125" s="635" t="s">
        <v>1494</v>
      </c>
      <c r="F1125" s="465" t="s">
        <v>96</v>
      </c>
      <c r="G1125" s="466">
        <v>0</v>
      </c>
      <c r="H1125" s="466">
        <v>2.121</v>
      </c>
      <c r="I1125" s="467">
        <v>2.12</v>
      </c>
      <c r="J1125" s="468">
        <v>0</v>
      </c>
    </row>
    <row r="1126" spans="1:10" ht="12.75" outlineLevel="2">
      <c r="A1126" s="645">
        <v>2141128103</v>
      </c>
      <c r="B1126" s="635" t="s">
        <v>1068</v>
      </c>
      <c r="C1126" s="635" t="s">
        <v>1420</v>
      </c>
      <c r="D1126" s="635"/>
      <c r="E1126" s="635" t="s">
        <v>1494</v>
      </c>
      <c r="F1126" s="465" t="s">
        <v>96</v>
      </c>
      <c r="G1126" s="466">
        <v>0</v>
      </c>
      <c r="H1126" s="466">
        <v>0.118</v>
      </c>
      <c r="I1126" s="467">
        <v>0.117</v>
      </c>
      <c r="J1126" s="468">
        <v>0</v>
      </c>
    </row>
    <row r="1127" spans="1:10" ht="12.75" outlineLevel="2">
      <c r="A1127" s="645">
        <v>2141128104</v>
      </c>
      <c r="B1127" s="635" t="s">
        <v>1069</v>
      </c>
      <c r="C1127" s="635" t="s">
        <v>1420</v>
      </c>
      <c r="D1127" s="635"/>
      <c r="E1127" s="635" t="s">
        <v>1494</v>
      </c>
      <c r="F1127" s="465" t="s">
        <v>96</v>
      </c>
      <c r="G1127" s="466">
        <v>0</v>
      </c>
      <c r="H1127" s="466">
        <v>21.981</v>
      </c>
      <c r="I1127" s="467">
        <v>21.981</v>
      </c>
      <c r="J1127" s="468">
        <v>0</v>
      </c>
    </row>
    <row r="1128" spans="1:10" ht="12.75" outlineLevel="2">
      <c r="A1128" s="645">
        <v>2141128105</v>
      </c>
      <c r="B1128" s="635" t="s">
        <v>1070</v>
      </c>
      <c r="C1128" s="635" t="s">
        <v>1420</v>
      </c>
      <c r="D1128" s="635"/>
      <c r="E1128" s="635" t="s">
        <v>1494</v>
      </c>
      <c r="F1128" s="465" t="s">
        <v>96</v>
      </c>
      <c r="G1128" s="466">
        <v>0</v>
      </c>
      <c r="H1128" s="466">
        <v>1.985</v>
      </c>
      <c r="I1128" s="467">
        <v>1.985</v>
      </c>
      <c r="J1128" s="468">
        <v>0</v>
      </c>
    </row>
    <row r="1129" spans="1:10" ht="12.75" outlineLevel="2">
      <c r="A1129" s="645">
        <v>2141128106</v>
      </c>
      <c r="B1129" s="635" t="s">
        <v>1071</v>
      </c>
      <c r="C1129" s="635" t="s">
        <v>1420</v>
      </c>
      <c r="D1129" s="635"/>
      <c r="E1129" s="635" t="s">
        <v>1494</v>
      </c>
      <c r="F1129" s="465" t="s">
        <v>96</v>
      </c>
      <c r="G1129" s="466">
        <v>0</v>
      </c>
      <c r="H1129" s="466">
        <v>0.446</v>
      </c>
      <c r="I1129" s="467">
        <v>0.445</v>
      </c>
      <c r="J1129" s="468">
        <v>0</v>
      </c>
    </row>
    <row r="1130" spans="1:10" ht="12.75" outlineLevel="2">
      <c r="A1130" s="645">
        <v>2141128107</v>
      </c>
      <c r="B1130" s="635" t="s">
        <v>1072</v>
      </c>
      <c r="C1130" s="635" t="s">
        <v>1422</v>
      </c>
      <c r="D1130" s="635"/>
      <c r="E1130" s="635" t="s">
        <v>1494</v>
      </c>
      <c r="F1130" s="465" t="s">
        <v>96</v>
      </c>
      <c r="G1130" s="466">
        <v>0</v>
      </c>
      <c r="H1130" s="466">
        <v>0.11</v>
      </c>
      <c r="I1130" s="467">
        <v>0.11</v>
      </c>
      <c r="J1130" s="468">
        <v>0</v>
      </c>
    </row>
    <row r="1131" spans="1:10" ht="12.75" outlineLevel="2">
      <c r="A1131" s="645">
        <v>2141128108</v>
      </c>
      <c r="B1131" s="635" t="s">
        <v>1073</v>
      </c>
      <c r="C1131" s="635" t="s">
        <v>1426</v>
      </c>
      <c r="D1131" s="635"/>
      <c r="E1131" s="635" t="s">
        <v>1494</v>
      </c>
      <c r="F1131" s="465" t="s">
        <v>96</v>
      </c>
      <c r="G1131" s="466">
        <v>0</v>
      </c>
      <c r="H1131" s="466">
        <v>2.554</v>
      </c>
      <c r="I1131" s="467">
        <v>2.553</v>
      </c>
      <c r="J1131" s="468">
        <v>0</v>
      </c>
    </row>
    <row r="1132" spans="1:10" ht="12.75" outlineLevel="2">
      <c r="A1132" s="645">
        <v>2141128109</v>
      </c>
      <c r="B1132" s="635" t="s">
        <v>1074</v>
      </c>
      <c r="C1132" s="635" t="s">
        <v>1427</v>
      </c>
      <c r="D1132" s="635"/>
      <c r="E1132" s="635" t="s">
        <v>1494</v>
      </c>
      <c r="F1132" s="465" t="s">
        <v>96</v>
      </c>
      <c r="G1132" s="466">
        <v>0</v>
      </c>
      <c r="H1132" s="466">
        <v>0.086</v>
      </c>
      <c r="I1132" s="467">
        <v>0.086</v>
      </c>
      <c r="J1132" s="468">
        <v>0</v>
      </c>
    </row>
    <row r="1133" spans="1:10" ht="12.75" outlineLevel="2">
      <c r="A1133" s="645">
        <v>2141128110</v>
      </c>
      <c r="B1133" s="635" t="s">
        <v>1075</v>
      </c>
      <c r="C1133" s="635" t="s">
        <v>1427</v>
      </c>
      <c r="D1133" s="635"/>
      <c r="E1133" s="635" t="s">
        <v>1494</v>
      </c>
      <c r="F1133" s="465" t="s">
        <v>96</v>
      </c>
      <c r="G1133" s="466">
        <v>0</v>
      </c>
      <c r="H1133" s="466">
        <v>3.563</v>
      </c>
      <c r="I1133" s="467">
        <v>3.562</v>
      </c>
      <c r="J1133" s="468">
        <v>0</v>
      </c>
    </row>
    <row r="1134" spans="1:10" ht="12.75" outlineLevel="2">
      <c r="A1134" s="645">
        <v>2141128111</v>
      </c>
      <c r="B1134" s="635" t="s">
        <v>1076</v>
      </c>
      <c r="C1134" s="635" t="s">
        <v>1427</v>
      </c>
      <c r="D1134" s="635"/>
      <c r="E1134" s="635" t="s">
        <v>1494</v>
      </c>
      <c r="F1134" s="465" t="s">
        <v>1845</v>
      </c>
      <c r="G1134" s="466">
        <v>0</v>
      </c>
      <c r="H1134" s="466">
        <v>13.624</v>
      </c>
      <c r="I1134" s="467">
        <v>13.621</v>
      </c>
      <c r="J1134" s="468">
        <v>0</v>
      </c>
    </row>
    <row r="1135" spans="1:10" ht="12.75" outlineLevel="2">
      <c r="A1135" s="645">
        <v>2141128112</v>
      </c>
      <c r="B1135" s="635" t="s">
        <v>1077</v>
      </c>
      <c r="C1135" s="635" t="s">
        <v>1425</v>
      </c>
      <c r="D1135" s="635"/>
      <c r="E1135" s="635" t="s">
        <v>1494</v>
      </c>
      <c r="F1135" s="465" t="s">
        <v>1845</v>
      </c>
      <c r="G1135" s="466">
        <v>0</v>
      </c>
      <c r="H1135" s="466">
        <v>0.196</v>
      </c>
      <c r="I1135" s="467">
        <v>0.015</v>
      </c>
      <c r="J1135" s="468">
        <v>0.181</v>
      </c>
    </row>
    <row r="1136" spans="1:10" ht="12.75" outlineLevel="2">
      <c r="A1136" s="645">
        <v>2141128112</v>
      </c>
      <c r="B1136" s="635" t="s">
        <v>1077</v>
      </c>
      <c r="C1136" s="635" t="s">
        <v>1425</v>
      </c>
      <c r="D1136" s="635"/>
      <c r="E1136" s="635" t="s">
        <v>1494</v>
      </c>
      <c r="F1136" s="465" t="s">
        <v>96</v>
      </c>
      <c r="G1136" s="466">
        <v>0</v>
      </c>
      <c r="H1136" s="466">
        <v>2.578</v>
      </c>
      <c r="I1136" s="467">
        <v>2.451</v>
      </c>
      <c r="J1136" s="468">
        <v>0.126</v>
      </c>
    </row>
    <row r="1137" spans="1:10" ht="12.75" outlineLevel="2">
      <c r="A1137" s="645">
        <v>2141128113</v>
      </c>
      <c r="B1137" s="635" t="s">
        <v>1078</v>
      </c>
      <c r="C1137" s="635" t="s">
        <v>1428</v>
      </c>
      <c r="D1137" s="635"/>
      <c r="E1137" s="635" t="s">
        <v>1494</v>
      </c>
      <c r="F1137" s="465" t="s">
        <v>473</v>
      </c>
      <c r="G1137" s="466">
        <v>0</v>
      </c>
      <c r="H1137" s="466">
        <v>0.003</v>
      </c>
      <c r="I1137" s="467">
        <v>0.003</v>
      </c>
      <c r="J1137" s="468">
        <v>0</v>
      </c>
    </row>
    <row r="1138" spans="1:10" ht="12.75" outlineLevel="2">
      <c r="A1138" s="645">
        <v>2141128113</v>
      </c>
      <c r="B1138" s="635" t="s">
        <v>1078</v>
      </c>
      <c r="C1138" s="635" t="s">
        <v>1428</v>
      </c>
      <c r="D1138" s="635"/>
      <c r="E1138" s="635" t="s">
        <v>1494</v>
      </c>
      <c r="F1138" s="465" t="s">
        <v>2474</v>
      </c>
      <c r="G1138" s="466">
        <v>0</v>
      </c>
      <c r="H1138" s="466">
        <v>0</v>
      </c>
      <c r="I1138" s="467">
        <v>0.283</v>
      </c>
      <c r="J1138" s="468">
        <v>0</v>
      </c>
    </row>
    <row r="1139" spans="1:10" ht="12.75" outlineLevel="2">
      <c r="A1139" s="645">
        <v>2141128113</v>
      </c>
      <c r="B1139" s="635" t="s">
        <v>1078</v>
      </c>
      <c r="C1139" s="635" t="s">
        <v>1428</v>
      </c>
      <c r="D1139" s="635"/>
      <c r="E1139" s="635" t="s">
        <v>1494</v>
      </c>
      <c r="F1139" s="465" t="s">
        <v>118</v>
      </c>
      <c r="G1139" s="466">
        <v>0</v>
      </c>
      <c r="H1139" s="466">
        <v>0.492</v>
      </c>
      <c r="I1139" s="467">
        <v>0.236</v>
      </c>
      <c r="J1139" s="468">
        <v>0.256</v>
      </c>
    </row>
    <row r="1140" spans="1:10" ht="12.75" outlineLevel="2">
      <c r="A1140" s="645">
        <v>2141128113</v>
      </c>
      <c r="B1140" s="635" t="s">
        <v>1078</v>
      </c>
      <c r="C1140" s="635" t="s">
        <v>1428</v>
      </c>
      <c r="D1140" s="635"/>
      <c r="E1140" s="635" t="s">
        <v>1494</v>
      </c>
      <c r="F1140" s="465" t="s">
        <v>39</v>
      </c>
      <c r="G1140" s="466">
        <v>0</v>
      </c>
      <c r="H1140" s="466">
        <v>0</v>
      </c>
      <c r="I1140" s="467">
        <v>3</v>
      </c>
      <c r="J1140" s="468">
        <v>0</v>
      </c>
    </row>
    <row r="1141" spans="1:10" ht="12.75" outlineLevel="2">
      <c r="A1141" s="645">
        <v>2141128114</v>
      </c>
      <c r="B1141" s="635" t="s">
        <v>1079</v>
      </c>
      <c r="C1141" s="635" t="s">
        <v>1428</v>
      </c>
      <c r="D1141" s="635"/>
      <c r="E1141" s="635" t="s">
        <v>1494</v>
      </c>
      <c r="F1141" s="465" t="s">
        <v>473</v>
      </c>
      <c r="G1141" s="466">
        <v>0</v>
      </c>
      <c r="H1141" s="466">
        <v>0.209</v>
      </c>
      <c r="I1141" s="467">
        <v>0.209</v>
      </c>
      <c r="J1141" s="468">
        <v>0</v>
      </c>
    </row>
    <row r="1142" spans="1:10" ht="12.75" outlineLevel="2">
      <c r="A1142" s="645">
        <v>2141128114</v>
      </c>
      <c r="B1142" s="635" t="s">
        <v>1079</v>
      </c>
      <c r="C1142" s="635" t="s">
        <v>1428</v>
      </c>
      <c r="D1142" s="635"/>
      <c r="E1142" s="635" t="s">
        <v>1494</v>
      </c>
      <c r="F1142" s="465" t="s">
        <v>118</v>
      </c>
      <c r="G1142" s="466">
        <v>0</v>
      </c>
      <c r="H1142" s="466">
        <v>3.397</v>
      </c>
      <c r="I1142" s="467">
        <v>3.396</v>
      </c>
      <c r="J1142" s="468">
        <v>0</v>
      </c>
    </row>
    <row r="1143" spans="1:10" ht="12.75" outlineLevel="2">
      <c r="A1143" s="645">
        <v>2141128115</v>
      </c>
      <c r="B1143" s="635" t="s">
        <v>1080</v>
      </c>
      <c r="C1143" s="635" t="s">
        <v>1428</v>
      </c>
      <c r="D1143" s="635"/>
      <c r="E1143" s="635" t="s">
        <v>1494</v>
      </c>
      <c r="F1143" s="465" t="s">
        <v>473</v>
      </c>
      <c r="G1143" s="466">
        <v>0</v>
      </c>
      <c r="H1143" s="466">
        <v>0.262</v>
      </c>
      <c r="I1143" s="467">
        <v>0.261</v>
      </c>
      <c r="J1143" s="468">
        <v>0</v>
      </c>
    </row>
    <row r="1144" spans="1:10" ht="12.75" outlineLevel="2">
      <c r="A1144" s="645">
        <v>2141128115</v>
      </c>
      <c r="B1144" s="635" t="s">
        <v>1080</v>
      </c>
      <c r="C1144" s="635" t="s">
        <v>1428</v>
      </c>
      <c r="D1144" s="635"/>
      <c r="E1144" s="635" t="s">
        <v>1494</v>
      </c>
      <c r="F1144" s="465" t="s">
        <v>118</v>
      </c>
      <c r="G1144" s="466">
        <v>0</v>
      </c>
      <c r="H1144" s="466">
        <v>3.394</v>
      </c>
      <c r="I1144" s="467">
        <v>3.393</v>
      </c>
      <c r="J1144" s="468">
        <v>0</v>
      </c>
    </row>
    <row r="1145" spans="1:10" ht="12.75" outlineLevel="2">
      <c r="A1145" s="645">
        <v>2141128116</v>
      </c>
      <c r="B1145" s="635" t="s">
        <v>1081</v>
      </c>
      <c r="C1145" s="635" t="s">
        <v>1428</v>
      </c>
      <c r="D1145" s="635"/>
      <c r="E1145" s="635" t="s">
        <v>1494</v>
      </c>
      <c r="F1145" s="465" t="s">
        <v>473</v>
      </c>
      <c r="G1145" s="466">
        <v>0</v>
      </c>
      <c r="H1145" s="466">
        <v>0.161</v>
      </c>
      <c r="I1145" s="467">
        <v>0.161</v>
      </c>
      <c r="J1145" s="468">
        <v>0</v>
      </c>
    </row>
    <row r="1146" spans="1:10" ht="12.75" outlineLevel="2">
      <c r="A1146" s="645">
        <v>2141128116</v>
      </c>
      <c r="B1146" s="635" t="s">
        <v>1081</v>
      </c>
      <c r="C1146" s="635" t="s">
        <v>1428</v>
      </c>
      <c r="D1146" s="635"/>
      <c r="E1146" s="635" t="s">
        <v>1494</v>
      </c>
      <c r="F1146" s="465" t="s">
        <v>118</v>
      </c>
      <c r="G1146" s="466">
        <v>0</v>
      </c>
      <c r="H1146" s="466">
        <v>2.384</v>
      </c>
      <c r="I1146" s="467">
        <v>2.384</v>
      </c>
      <c r="J1146" s="468">
        <v>0</v>
      </c>
    </row>
    <row r="1147" spans="1:10" ht="12.75" outlineLevel="2">
      <c r="A1147" s="645">
        <v>2141128117</v>
      </c>
      <c r="B1147" s="635" t="s">
        <v>1082</v>
      </c>
      <c r="C1147" s="635" t="s">
        <v>1428</v>
      </c>
      <c r="D1147" s="635"/>
      <c r="E1147" s="635" t="s">
        <v>1494</v>
      </c>
      <c r="F1147" s="465" t="s">
        <v>473</v>
      </c>
      <c r="G1147" s="466">
        <v>0</v>
      </c>
      <c r="H1147" s="466">
        <v>0.103</v>
      </c>
      <c r="I1147" s="467">
        <v>0.103</v>
      </c>
      <c r="J1147" s="468">
        <v>0</v>
      </c>
    </row>
    <row r="1148" spans="1:10" ht="12.75" outlineLevel="2">
      <c r="A1148" s="645">
        <v>2141128117</v>
      </c>
      <c r="B1148" s="635" t="s">
        <v>1082</v>
      </c>
      <c r="C1148" s="635" t="s">
        <v>1428</v>
      </c>
      <c r="D1148" s="635"/>
      <c r="E1148" s="635" t="s">
        <v>1494</v>
      </c>
      <c r="F1148" s="465" t="s">
        <v>118</v>
      </c>
      <c r="G1148" s="466">
        <v>0</v>
      </c>
      <c r="H1148" s="466">
        <v>3.967</v>
      </c>
      <c r="I1148" s="467">
        <v>3.966</v>
      </c>
      <c r="J1148" s="468">
        <v>0</v>
      </c>
    </row>
    <row r="1149" spans="1:10" ht="12.75" outlineLevel="2">
      <c r="A1149" s="645">
        <v>2141128118</v>
      </c>
      <c r="B1149" s="635" t="s">
        <v>1083</v>
      </c>
      <c r="C1149" s="635" t="s">
        <v>1428</v>
      </c>
      <c r="D1149" s="635"/>
      <c r="E1149" s="635" t="s">
        <v>1494</v>
      </c>
      <c r="F1149" s="465" t="s">
        <v>473</v>
      </c>
      <c r="G1149" s="466">
        <v>0</v>
      </c>
      <c r="H1149" s="466">
        <v>0.277</v>
      </c>
      <c r="I1149" s="467">
        <v>0.277</v>
      </c>
      <c r="J1149" s="468">
        <v>0</v>
      </c>
    </row>
    <row r="1150" spans="1:10" ht="12.75" outlineLevel="2">
      <c r="A1150" s="645">
        <v>2141128118</v>
      </c>
      <c r="B1150" s="635" t="s">
        <v>1083</v>
      </c>
      <c r="C1150" s="635" t="s">
        <v>1428</v>
      </c>
      <c r="D1150" s="635"/>
      <c r="E1150" s="635" t="s">
        <v>1494</v>
      </c>
      <c r="F1150" s="465" t="s">
        <v>118</v>
      </c>
      <c r="G1150" s="466">
        <v>0</v>
      </c>
      <c r="H1150" s="466">
        <v>1.845</v>
      </c>
      <c r="I1150" s="467">
        <v>1.788</v>
      </c>
      <c r="J1150" s="468">
        <v>0</v>
      </c>
    </row>
    <row r="1151" spans="1:10" ht="12.75" outlineLevel="2">
      <c r="A1151" s="645">
        <v>2141128119</v>
      </c>
      <c r="B1151" s="635" t="s">
        <v>1084</v>
      </c>
      <c r="C1151" s="635" t="s">
        <v>1428</v>
      </c>
      <c r="D1151" s="635"/>
      <c r="E1151" s="635" t="s">
        <v>1494</v>
      </c>
      <c r="F1151" s="465" t="s">
        <v>473</v>
      </c>
      <c r="G1151" s="466">
        <v>0</v>
      </c>
      <c r="H1151" s="466">
        <v>0.05</v>
      </c>
      <c r="I1151" s="467">
        <v>0.045</v>
      </c>
      <c r="J1151" s="468">
        <v>0</v>
      </c>
    </row>
    <row r="1152" spans="1:10" ht="12.75" outlineLevel="2">
      <c r="A1152" s="645">
        <v>2141128119</v>
      </c>
      <c r="B1152" s="635" t="s">
        <v>1084</v>
      </c>
      <c r="C1152" s="635" t="s">
        <v>1428</v>
      </c>
      <c r="D1152" s="635"/>
      <c r="E1152" s="635" t="s">
        <v>1494</v>
      </c>
      <c r="F1152" s="465" t="s">
        <v>2474</v>
      </c>
      <c r="G1152" s="466">
        <v>0</v>
      </c>
      <c r="H1152" s="466">
        <v>0</v>
      </c>
      <c r="I1152" s="467">
        <v>0.3</v>
      </c>
      <c r="J1152" s="468">
        <v>0</v>
      </c>
    </row>
    <row r="1153" spans="1:10" ht="12.75" outlineLevel="2">
      <c r="A1153" s="645">
        <v>2141128119</v>
      </c>
      <c r="B1153" s="635" t="s">
        <v>1084</v>
      </c>
      <c r="C1153" s="635" t="s">
        <v>1428</v>
      </c>
      <c r="D1153" s="635"/>
      <c r="E1153" s="635" t="s">
        <v>1494</v>
      </c>
      <c r="F1153" s="465" t="s">
        <v>118</v>
      </c>
      <c r="G1153" s="466">
        <v>0</v>
      </c>
      <c r="H1153" s="466">
        <v>0.751</v>
      </c>
      <c r="I1153" s="467">
        <v>0.352</v>
      </c>
      <c r="J1153" s="468">
        <v>0.399</v>
      </c>
    </row>
    <row r="1154" spans="1:10" ht="12.75" outlineLevel="2">
      <c r="A1154" s="645">
        <v>2141128119</v>
      </c>
      <c r="B1154" s="635" t="s">
        <v>1084</v>
      </c>
      <c r="C1154" s="635" t="s">
        <v>1428</v>
      </c>
      <c r="D1154" s="635"/>
      <c r="E1154" s="635" t="s">
        <v>1494</v>
      </c>
      <c r="F1154" s="465" t="s">
        <v>39</v>
      </c>
      <c r="G1154" s="466">
        <v>0</v>
      </c>
      <c r="H1154" s="466">
        <v>0</v>
      </c>
      <c r="I1154" s="467">
        <v>2.335</v>
      </c>
      <c r="J1154" s="468">
        <v>0</v>
      </c>
    </row>
    <row r="1155" spans="1:10" ht="12.75" outlineLevel="2">
      <c r="A1155" s="645">
        <v>2141128120</v>
      </c>
      <c r="B1155" s="635" t="s">
        <v>1085</v>
      </c>
      <c r="C1155" s="635" t="s">
        <v>1428</v>
      </c>
      <c r="D1155" s="635"/>
      <c r="E1155" s="635" t="s">
        <v>1494</v>
      </c>
      <c r="F1155" s="465" t="s">
        <v>473</v>
      </c>
      <c r="G1155" s="466">
        <v>0</v>
      </c>
      <c r="H1155" s="466">
        <v>0.308</v>
      </c>
      <c r="I1155" s="467">
        <v>0</v>
      </c>
      <c r="J1155" s="468">
        <v>0.308</v>
      </c>
    </row>
    <row r="1156" spans="1:10" ht="12.75" outlineLevel="2">
      <c r="A1156" s="645">
        <v>2141128120</v>
      </c>
      <c r="B1156" s="635" t="s">
        <v>1085</v>
      </c>
      <c r="C1156" s="635" t="s">
        <v>1428</v>
      </c>
      <c r="D1156" s="635"/>
      <c r="E1156" s="635" t="s">
        <v>1494</v>
      </c>
      <c r="F1156" s="465" t="s">
        <v>118</v>
      </c>
      <c r="G1156" s="466">
        <v>0</v>
      </c>
      <c r="H1156" s="466">
        <v>2.722</v>
      </c>
      <c r="I1156" s="467">
        <v>0.26</v>
      </c>
      <c r="J1156" s="468">
        <v>2.462</v>
      </c>
    </row>
    <row r="1157" spans="1:10" ht="12.75" outlineLevel="2">
      <c r="A1157" s="645">
        <v>2141128121</v>
      </c>
      <c r="B1157" s="635" t="s">
        <v>1086</v>
      </c>
      <c r="C1157" s="635" t="s">
        <v>1428</v>
      </c>
      <c r="D1157" s="635"/>
      <c r="E1157" s="635" t="s">
        <v>1494</v>
      </c>
      <c r="F1157" s="465" t="s">
        <v>473</v>
      </c>
      <c r="G1157" s="466">
        <v>0</v>
      </c>
      <c r="H1157" s="466">
        <v>0.242</v>
      </c>
      <c r="I1157" s="467">
        <v>0</v>
      </c>
      <c r="J1157" s="468">
        <v>0.242</v>
      </c>
    </row>
    <row r="1158" spans="1:10" ht="12.75" outlineLevel="2">
      <c r="A1158" s="645">
        <v>2141128121</v>
      </c>
      <c r="B1158" s="635" t="s">
        <v>1086</v>
      </c>
      <c r="C1158" s="635" t="s">
        <v>1428</v>
      </c>
      <c r="D1158" s="635"/>
      <c r="E1158" s="635" t="s">
        <v>1494</v>
      </c>
      <c r="F1158" s="465" t="s">
        <v>118</v>
      </c>
      <c r="G1158" s="466">
        <v>0</v>
      </c>
      <c r="H1158" s="466">
        <v>2.66</v>
      </c>
      <c r="I1158" s="467">
        <v>0.099</v>
      </c>
      <c r="J1158" s="468">
        <v>2.56</v>
      </c>
    </row>
    <row r="1159" spans="1:10" ht="12.75" outlineLevel="2">
      <c r="A1159" s="645">
        <v>2141128122</v>
      </c>
      <c r="B1159" s="635" t="s">
        <v>1087</v>
      </c>
      <c r="C1159" s="635" t="s">
        <v>1428</v>
      </c>
      <c r="D1159" s="635"/>
      <c r="E1159" s="635" t="s">
        <v>1494</v>
      </c>
      <c r="F1159" s="465" t="s">
        <v>473</v>
      </c>
      <c r="G1159" s="466">
        <v>0</v>
      </c>
      <c r="H1159" s="466">
        <v>0.246</v>
      </c>
      <c r="I1159" s="467">
        <v>0</v>
      </c>
      <c r="J1159" s="468">
        <v>0.246</v>
      </c>
    </row>
    <row r="1160" spans="1:10" ht="12.75" outlineLevel="2">
      <c r="A1160" s="645">
        <v>2141128122</v>
      </c>
      <c r="B1160" s="635" t="s">
        <v>1087</v>
      </c>
      <c r="C1160" s="635" t="s">
        <v>1428</v>
      </c>
      <c r="D1160" s="635"/>
      <c r="E1160" s="635" t="s">
        <v>1494</v>
      </c>
      <c r="F1160" s="465" t="s">
        <v>118</v>
      </c>
      <c r="G1160" s="466">
        <v>0</v>
      </c>
      <c r="H1160" s="466">
        <v>3.96</v>
      </c>
      <c r="I1160" s="467">
        <v>0.147</v>
      </c>
      <c r="J1160" s="468">
        <v>3.813</v>
      </c>
    </row>
    <row r="1161" spans="1:10" ht="12.75" outlineLevel="2">
      <c r="A1161" s="645">
        <v>2141128123</v>
      </c>
      <c r="B1161" s="635" t="s">
        <v>1088</v>
      </c>
      <c r="C1161" s="635" t="s">
        <v>1426</v>
      </c>
      <c r="D1161" s="635"/>
      <c r="E1161" s="635" t="s">
        <v>1494</v>
      </c>
      <c r="F1161" s="465" t="s">
        <v>118</v>
      </c>
      <c r="G1161" s="466">
        <v>0</v>
      </c>
      <c r="H1161" s="466">
        <v>0.992</v>
      </c>
      <c r="I1161" s="467">
        <v>0</v>
      </c>
      <c r="J1161" s="468">
        <v>0.992</v>
      </c>
    </row>
    <row r="1162" spans="1:10" ht="12.75" outlineLevel="2">
      <c r="A1162" s="645">
        <v>2141128123</v>
      </c>
      <c r="B1162" s="635" t="s">
        <v>1088</v>
      </c>
      <c r="C1162" s="635" t="s">
        <v>1426</v>
      </c>
      <c r="D1162" s="635"/>
      <c r="E1162" s="635" t="s">
        <v>1494</v>
      </c>
      <c r="F1162" s="465" t="s">
        <v>39</v>
      </c>
      <c r="G1162" s="466">
        <v>0</v>
      </c>
      <c r="H1162" s="466">
        <v>0</v>
      </c>
      <c r="I1162" s="467">
        <v>0.099</v>
      </c>
      <c r="J1162" s="468">
        <v>0</v>
      </c>
    </row>
    <row r="1163" spans="1:10" ht="12.75" outlineLevel="2">
      <c r="A1163" s="645">
        <v>2141128124</v>
      </c>
      <c r="B1163" s="635" t="s">
        <v>1089</v>
      </c>
      <c r="C1163" s="635" t="s">
        <v>1426</v>
      </c>
      <c r="D1163" s="635"/>
      <c r="E1163" s="635" t="s">
        <v>1494</v>
      </c>
      <c r="F1163" s="465" t="s">
        <v>473</v>
      </c>
      <c r="G1163" s="466">
        <v>0</v>
      </c>
      <c r="H1163" s="466">
        <v>0.037</v>
      </c>
      <c r="I1163" s="467">
        <v>0.028</v>
      </c>
      <c r="J1163" s="468">
        <v>0</v>
      </c>
    </row>
    <row r="1164" spans="1:10" ht="12.75" outlineLevel="2">
      <c r="A1164" s="645">
        <v>2141128124</v>
      </c>
      <c r="B1164" s="635" t="s">
        <v>1089</v>
      </c>
      <c r="C1164" s="635" t="s">
        <v>1426</v>
      </c>
      <c r="D1164" s="635"/>
      <c r="E1164" s="635" t="s">
        <v>1494</v>
      </c>
      <c r="F1164" s="465" t="s">
        <v>2474</v>
      </c>
      <c r="G1164" s="466">
        <v>0</v>
      </c>
      <c r="H1164" s="466">
        <v>0</v>
      </c>
      <c r="I1164" s="467">
        <v>0.007</v>
      </c>
      <c r="J1164" s="468">
        <v>0</v>
      </c>
    </row>
    <row r="1165" spans="1:10" ht="12.75" outlineLevel="2">
      <c r="A1165" s="645">
        <v>2141128125</v>
      </c>
      <c r="B1165" s="635" t="s">
        <v>1090</v>
      </c>
      <c r="C1165" s="635" t="s">
        <v>1426</v>
      </c>
      <c r="D1165" s="635"/>
      <c r="E1165" s="635" t="s">
        <v>1494</v>
      </c>
      <c r="F1165" s="465" t="s">
        <v>473</v>
      </c>
      <c r="G1165" s="466">
        <v>0</v>
      </c>
      <c r="H1165" s="466">
        <v>0.034</v>
      </c>
      <c r="I1165" s="467">
        <v>0.021</v>
      </c>
      <c r="J1165" s="468">
        <v>0</v>
      </c>
    </row>
    <row r="1166" spans="1:10" ht="12.75" outlineLevel="2">
      <c r="A1166" s="645">
        <v>2141128125</v>
      </c>
      <c r="B1166" s="635" t="s">
        <v>1090</v>
      </c>
      <c r="C1166" s="635" t="s">
        <v>1426</v>
      </c>
      <c r="D1166" s="635"/>
      <c r="E1166" s="635" t="s">
        <v>1494</v>
      </c>
      <c r="F1166" s="465" t="s">
        <v>2474</v>
      </c>
      <c r="G1166" s="466">
        <v>0</v>
      </c>
      <c r="H1166" s="466">
        <v>0</v>
      </c>
      <c r="I1166" s="467">
        <v>0.007</v>
      </c>
      <c r="J1166" s="468">
        <v>0</v>
      </c>
    </row>
    <row r="1167" spans="1:10" ht="12.75" outlineLevel="2">
      <c r="A1167" s="645">
        <v>2141128126</v>
      </c>
      <c r="B1167" s="635" t="s">
        <v>1091</v>
      </c>
      <c r="C1167" s="635" t="s">
        <v>1426</v>
      </c>
      <c r="D1167" s="635"/>
      <c r="E1167" s="635" t="s">
        <v>1494</v>
      </c>
      <c r="F1167" s="465" t="s">
        <v>473</v>
      </c>
      <c r="G1167" s="466">
        <v>0</v>
      </c>
      <c r="H1167" s="466">
        <v>0.012</v>
      </c>
      <c r="I1167" s="467">
        <v>0.009</v>
      </c>
      <c r="J1167" s="468">
        <v>0</v>
      </c>
    </row>
    <row r="1168" spans="1:10" ht="12.75" outlineLevel="2">
      <c r="A1168" s="645">
        <v>2141128126</v>
      </c>
      <c r="B1168" s="635" t="s">
        <v>1091</v>
      </c>
      <c r="C1168" s="635" t="s">
        <v>1426</v>
      </c>
      <c r="D1168" s="635"/>
      <c r="E1168" s="635" t="s">
        <v>1494</v>
      </c>
      <c r="F1168" s="465" t="s">
        <v>2474</v>
      </c>
      <c r="G1168" s="466">
        <v>0</v>
      </c>
      <c r="H1168" s="466">
        <v>0</v>
      </c>
      <c r="I1168" s="467">
        <v>0.003</v>
      </c>
      <c r="J1168" s="468">
        <v>0</v>
      </c>
    </row>
    <row r="1169" spans="1:10" ht="12.75" outlineLevel="2">
      <c r="A1169" s="645">
        <v>2141128126</v>
      </c>
      <c r="B1169" s="635" t="s">
        <v>1091</v>
      </c>
      <c r="C1169" s="635" t="s">
        <v>1426</v>
      </c>
      <c r="D1169" s="635"/>
      <c r="E1169" s="635" t="s">
        <v>1494</v>
      </c>
      <c r="F1169" s="465" t="s">
        <v>118</v>
      </c>
      <c r="G1169" s="466">
        <v>0</v>
      </c>
      <c r="H1169" s="466">
        <v>0.667</v>
      </c>
      <c r="I1169" s="467">
        <v>0.582</v>
      </c>
      <c r="J1169" s="468">
        <v>0</v>
      </c>
    </row>
    <row r="1170" spans="1:10" ht="12.75" outlineLevel="2">
      <c r="A1170" s="645">
        <v>2141128126</v>
      </c>
      <c r="B1170" s="635" t="s">
        <v>1091</v>
      </c>
      <c r="C1170" s="635" t="s">
        <v>1426</v>
      </c>
      <c r="D1170" s="635"/>
      <c r="E1170" s="635" t="s">
        <v>1494</v>
      </c>
      <c r="F1170" s="465" t="s">
        <v>39</v>
      </c>
      <c r="G1170" s="466">
        <v>0</v>
      </c>
      <c r="H1170" s="466">
        <v>0</v>
      </c>
      <c r="I1170" s="467">
        <v>0.118</v>
      </c>
      <c r="J1170" s="468">
        <v>0</v>
      </c>
    </row>
    <row r="1171" spans="1:10" ht="12.75" outlineLevel="2">
      <c r="A1171" s="645">
        <v>2141128127</v>
      </c>
      <c r="B1171" s="635" t="s">
        <v>1092</v>
      </c>
      <c r="C1171" s="635" t="s">
        <v>1426</v>
      </c>
      <c r="D1171" s="635"/>
      <c r="E1171" s="635" t="s">
        <v>1494</v>
      </c>
      <c r="F1171" s="465" t="s">
        <v>473</v>
      </c>
      <c r="G1171" s="466">
        <v>0</v>
      </c>
      <c r="H1171" s="466">
        <v>0.034</v>
      </c>
      <c r="I1171" s="467">
        <v>0.006</v>
      </c>
      <c r="J1171" s="468">
        <v>0</v>
      </c>
    </row>
    <row r="1172" spans="1:10" ht="12.75" outlineLevel="2">
      <c r="A1172" s="645">
        <v>2141128127</v>
      </c>
      <c r="B1172" s="635" t="s">
        <v>1092</v>
      </c>
      <c r="C1172" s="635" t="s">
        <v>1426</v>
      </c>
      <c r="D1172" s="635"/>
      <c r="E1172" s="635" t="s">
        <v>1494</v>
      </c>
      <c r="F1172" s="465" t="s">
        <v>2474</v>
      </c>
      <c r="G1172" s="466">
        <v>0</v>
      </c>
      <c r="H1172" s="466">
        <v>0</v>
      </c>
      <c r="I1172" s="467">
        <v>0.007</v>
      </c>
      <c r="J1172" s="468">
        <v>0</v>
      </c>
    </row>
    <row r="1173" spans="1:10" ht="12.75" outlineLevel="2">
      <c r="A1173" s="645">
        <v>2141128128</v>
      </c>
      <c r="B1173" s="635" t="s">
        <v>1093</v>
      </c>
      <c r="C1173" s="635" t="s">
        <v>1426</v>
      </c>
      <c r="D1173" s="635"/>
      <c r="E1173" s="635" t="s">
        <v>1494</v>
      </c>
      <c r="F1173" s="465" t="s">
        <v>473</v>
      </c>
      <c r="G1173" s="466">
        <v>0</v>
      </c>
      <c r="H1173" s="466">
        <v>0.089</v>
      </c>
      <c r="I1173" s="467">
        <v>0.011</v>
      </c>
      <c r="J1173" s="468">
        <v>0</v>
      </c>
    </row>
    <row r="1174" spans="1:10" ht="12.75" outlineLevel="2">
      <c r="A1174" s="645">
        <v>2141128128</v>
      </c>
      <c r="B1174" s="635" t="s">
        <v>1093</v>
      </c>
      <c r="C1174" s="635" t="s">
        <v>1426</v>
      </c>
      <c r="D1174" s="635"/>
      <c r="E1174" s="635" t="s">
        <v>1494</v>
      </c>
      <c r="F1174" s="465" t="s">
        <v>2474</v>
      </c>
      <c r="G1174" s="466">
        <v>0</v>
      </c>
      <c r="H1174" s="466">
        <v>0</v>
      </c>
      <c r="I1174" s="467">
        <v>0.016</v>
      </c>
      <c r="J1174" s="468">
        <v>0</v>
      </c>
    </row>
    <row r="1175" spans="1:10" ht="12.75" outlineLevel="2">
      <c r="A1175" s="645">
        <v>2141128128</v>
      </c>
      <c r="B1175" s="635" t="s">
        <v>1093</v>
      </c>
      <c r="C1175" s="635" t="s">
        <v>1426</v>
      </c>
      <c r="D1175" s="635"/>
      <c r="E1175" s="635" t="s">
        <v>1494</v>
      </c>
      <c r="F1175" s="465" t="s">
        <v>118</v>
      </c>
      <c r="G1175" s="466">
        <v>0</v>
      </c>
      <c r="H1175" s="466">
        <v>4.392</v>
      </c>
      <c r="I1175" s="467">
        <v>4.39</v>
      </c>
      <c r="J1175" s="468">
        <v>0</v>
      </c>
    </row>
    <row r="1176" spans="1:10" ht="12.75" outlineLevel="2">
      <c r="A1176" s="645">
        <v>2141128128</v>
      </c>
      <c r="B1176" s="635" t="s">
        <v>1093</v>
      </c>
      <c r="C1176" s="635" t="s">
        <v>1426</v>
      </c>
      <c r="D1176" s="635"/>
      <c r="E1176" s="635" t="s">
        <v>1494</v>
      </c>
      <c r="F1176" s="465" t="s">
        <v>39</v>
      </c>
      <c r="G1176" s="466">
        <v>0</v>
      </c>
      <c r="H1176" s="466">
        <v>0</v>
      </c>
      <c r="I1176" s="467">
        <v>0.45</v>
      </c>
      <c r="J1176" s="468">
        <v>0</v>
      </c>
    </row>
    <row r="1177" spans="1:10" ht="12.75" outlineLevel="2">
      <c r="A1177" s="645">
        <v>2141128129</v>
      </c>
      <c r="B1177" s="635" t="s">
        <v>1094</v>
      </c>
      <c r="C1177" s="635" t="s">
        <v>1426</v>
      </c>
      <c r="D1177" s="635"/>
      <c r="E1177" s="635" t="s">
        <v>1494</v>
      </c>
      <c r="F1177" s="465" t="s">
        <v>473</v>
      </c>
      <c r="G1177" s="466">
        <v>0</v>
      </c>
      <c r="H1177" s="466">
        <v>0.003</v>
      </c>
      <c r="I1177" s="467">
        <v>0</v>
      </c>
      <c r="J1177" s="468">
        <v>0.003</v>
      </c>
    </row>
    <row r="1178" spans="1:10" ht="12.75" outlineLevel="2">
      <c r="A1178" s="645">
        <v>2141128129</v>
      </c>
      <c r="B1178" s="635" t="s">
        <v>1094</v>
      </c>
      <c r="C1178" s="635" t="s">
        <v>1426</v>
      </c>
      <c r="D1178" s="635"/>
      <c r="E1178" s="635" t="s">
        <v>1494</v>
      </c>
      <c r="F1178" s="465" t="s">
        <v>118</v>
      </c>
      <c r="G1178" s="466">
        <v>0</v>
      </c>
      <c r="H1178" s="466">
        <v>0.464</v>
      </c>
      <c r="I1178" s="467">
        <v>0.264</v>
      </c>
      <c r="J1178" s="468">
        <v>0.2</v>
      </c>
    </row>
    <row r="1179" spans="1:10" ht="12.75" outlineLevel="2">
      <c r="A1179" s="645">
        <v>2141128129</v>
      </c>
      <c r="B1179" s="635" t="s">
        <v>1094</v>
      </c>
      <c r="C1179" s="635" t="s">
        <v>1426</v>
      </c>
      <c r="D1179" s="635"/>
      <c r="E1179" s="635" t="s">
        <v>1494</v>
      </c>
      <c r="F1179" s="465" t="s">
        <v>39</v>
      </c>
      <c r="G1179" s="466">
        <v>0</v>
      </c>
      <c r="H1179" s="466">
        <v>0</v>
      </c>
      <c r="I1179" s="467">
        <v>0.083</v>
      </c>
      <c r="J1179" s="468">
        <v>0</v>
      </c>
    </row>
    <row r="1180" spans="1:10" ht="12.75" outlineLevel="2">
      <c r="A1180" s="645">
        <v>2141128130</v>
      </c>
      <c r="B1180" s="635" t="s">
        <v>1095</v>
      </c>
      <c r="C1180" s="635" t="s">
        <v>1426</v>
      </c>
      <c r="D1180" s="635"/>
      <c r="E1180" s="635" t="s">
        <v>1494</v>
      </c>
      <c r="F1180" s="465" t="s">
        <v>473</v>
      </c>
      <c r="G1180" s="466">
        <v>0</v>
      </c>
      <c r="H1180" s="466">
        <v>0.003</v>
      </c>
      <c r="I1180" s="467">
        <v>0</v>
      </c>
      <c r="J1180" s="468">
        <v>0.003</v>
      </c>
    </row>
    <row r="1181" spans="1:10" ht="12.75" outlineLevel="2">
      <c r="A1181" s="645">
        <v>2141128130</v>
      </c>
      <c r="B1181" s="635" t="s">
        <v>1095</v>
      </c>
      <c r="C1181" s="635" t="s">
        <v>1426</v>
      </c>
      <c r="D1181" s="635"/>
      <c r="E1181" s="635" t="s">
        <v>1494</v>
      </c>
      <c r="F1181" s="465" t="s">
        <v>118</v>
      </c>
      <c r="G1181" s="466">
        <v>0</v>
      </c>
      <c r="H1181" s="466">
        <v>0.379</v>
      </c>
      <c r="I1181" s="467">
        <v>0</v>
      </c>
      <c r="J1181" s="468">
        <v>0.379</v>
      </c>
    </row>
    <row r="1182" spans="1:10" ht="12.75" outlineLevel="2">
      <c r="A1182" s="645">
        <v>2141128130</v>
      </c>
      <c r="B1182" s="635" t="s">
        <v>1095</v>
      </c>
      <c r="C1182" s="635" t="s">
        <v>1426</v>
      </c>
      <c r="D1182" s="635"/>
      <c r="E1182" s="635" t="s">
        <v>1494</v>
      </c>
      <c r="F1182" s="465" t="s">
        <v>39</v>
      </c>
      <c r="G1182" s="466">
        <v>0</v>
      </c>
      <c r="H1182" s="466">
        <v>0</v>
      </c>
      <c r="I1182" s="467">
        <v>0.042</v>
      </c>
      <c r="J1182" s="468">
        <v>0</v>
      </c>
    </row>
    <row r="1183" spans="1:10" ht="12.75" outlineLevel="2">
      <c r="A1183" s="645">
        <v>2141128131</v>
      </c>
      <c r="B1183" s="635" t="s">
        <v>1096</v>
      </c>
      <c r="C1183" s="635" t="s">
        <v>1426</v>
      </c>
      <c r="D1183" s="635"/>
      <c r="E1183" s="635" t="s">
        <v>1494</v>
      </c>
      <c r="F1183" s="465" t="s">
        <v>96</v>
      </c>
      <c r="G1183" s="466">
        <v>0</v>
      </c>
      <c r="H1183" s="466">
        <v>3.4</v>
      </c>
      <c r="I1183" s="467">
        <v>3.399</v>
      </c>
      <c r="J1183" s="468">
        <v>0</v>
      </c>
    </row>
    <row r="1184" spans="1:10" ht="12.75" outlineLevel="2">
      <c r="A1184" s="645">
        <v>2141128132</v>
      </c>
      <c r="B1184" s="635" t="s">
        <v>1097</v>
      </c>
      <c r="C1184" s="635" t="s">
        <v>1426</v>
      </c>
      <c r="D1184" s="635"/>
      <c r="E1184" s="635" t="s">
        <v>1494</v>
      </c>
      <c r="F1184" s="465" t="s">
        <v>96</v>
      </c>
      <c r="G1184" s="466">
        <v>0</v>
      </c>
      <c r="H1184" s="466">
        <v>2.349</v>
      </c>
      <c r="I1184" s="467">
        <v>2.349</v>
      </c>
      <c r="J1184" s="468">
        <v>0</v>
      </c>
    </row>
    <row r="1185" spans="1:10" ht="12.75" outlineLevel="2">
      <c r="A1185" s="645">
        <v>2141128133</v>
      </c>
      <c r="B1185" s="635" t="s">
        <v>1098</v>
      </c>
      <c r="C1185" s="635" t="s">
        <v>1426</v>
      </c>
      <c r="D1185" s="635"/>
      <c r="E1185" s="635" t="s">
        <v>1494</v>
      </c>
      <c r="F1185" s="465" t="s">
        <v>96</v>
      </c>
      <c r="G1185" s="466">
        <v>0</v>
      </c>
      <c r="H1185" s="466">
        <v>4.253</v>
      </c>
      <c r="I1185" s="467">
        <v>4.253</v>
      </c>
      <c r="J1185" s="468">
        <v>0</v>
      </c>
    </row>
    <row r="1186" spans="1:10" ht="12.75" outlineLevel="2">
      <c r="A1186" s="645">
        <v>2141128134</v>
      </c>
      <c r="B1186" s="635" t="s">
        <v>1099</v>
      </c>
      <c r="C1186" s="635" t="s">
        <v>1422</v>
      </c>
      <c r="D1186" s="635"/>
      <c r="E1186" s="635" t="s">
        <v>1494</v>
      </c>
      <c r="F1186" s="465" t="s">
        <v>473</v>
      </c>
      <c r="G1186" s="466">
        <v>0</v>
      </c>
      <c r="H1186" s="466">
        <v>0.203</v>
      </c>
      <c r="I1186" s="467">
        <v>0</v>
      </c>
      <c r="J1186" s="468">
        <v>0.203</v>
      </c>
    </row>
    <row r="1187" spans="1:10" ht="12.75" outlineLevel="2">
      <c r="A1187" s="645">
        <v>2141128134</v>
      </c>
      <c r="B1187" s="635" t="s">
        <v>1099</v>
      </c>
      <c r="C1187" s="635" t="s">
        <v>1422</v>
      </c>
      <c r="D1187" s="635"/>
      <c r="E1187" s="635" t="s">
        <v>1494</v>
      </c>
      <c r="F1187" s="465" t="s">
        <v>118</v>
      </c>
      <c r="G1187" s="466">
        <v>0</v>
      </c>
      <c r="H1187" s="466">
        <v>2.916</v>
      </c>
      <c r="I1187" s="467">
        <v>0.19</v>
      </c>
      <c r="J1187" s="468">
        <v>2.726</v>
      </c>
    </row>
    <row r="1188" spans="1:10" ht="12.75" outlineLevel="2">
      <c r="A1188" s="645">
        <v>2141128134</v>
      </c>
      <c r="B1188" s="635" t="s">
        <v>1099</v>
      </c>
      <c r="C1188" s="635" t="s">
        <v>1422</v>
      </c>
      <c r="D1188" s="635"/>
      <c r="E1188" s="635" t="s">
        <v>1494</v>
      </c>
      <c r="F1188" s="465" t="s">
        <v>39</v>
      </c>
      <c r="G1188" s="466">
        <v>0</v>
      </c>
      <c r="H1188" s="466">
        <v>0</v>
      </c>
      <c r="I1188" s="467">
        <v>0.136</v>
      </c>
      <c r="J1188" s="468">
        <v>0</v>
      </c>
    </row>
    <row r="1189" spans="1:10" ht="12.75" outlineLevel="2">
      <c r="A1189" s="645">
        <v>2141128135</v>
      </c>
      <c r="B1189" s="635" t="s">
        <v>1100</v>
      </c>
      <c r="C1189" s="635" t="s">
        <v>1422</v>
      </c>
      <c r="D1189" s="635"/>
      <c r="E1189" s="635" t="s">
        <v>1494</v>
      </c>
      <c r="F1189" s="465" t="s">
        <v>2474</v>
      </c>
      <c r="G1189" s="466">
        <v>0</v>
      </c>
      <c r="H1189" s="466">
        <v>0</v>
      </c>
      <c r="I1189" s="467">
        <v>0.16</v>
      </c>
      <c r="J1189" s="468">
        <v>0</v>
      </c>
    </row>
    <row r="1190" spans="1:10" ht="12.75" outlineLevel="2">
      <c r="A1190" s="645">
        <v>2141128135</v>
      </c>
      <c r="B1190" s="635" t="s">
        <v>1100</v>
      </c>
      <c r="C1190" s="635" t="s">
        <v>1422</v>
      </c>
      <c r="D1190" s="635"/>
      <c r="E1190" s="635" t="s">
        <v>1494</v>
      </c>
      <c r="F1190" s="465" t="s">
        <v>118</v>
      </c>
      <c r="G1190" s="466">
        <v>0</v>
      </c>
      <c r="H1190" s="466">
        <v>1.73</v>
      </c>
      <c r="I1190" s="467">
        <v>1.724</v>
      </c>
      <c r="J1190" s="468">
        <v>0</v>
      </c>
    </row>
    <row r="1191" spans="1:10" ht="12.75" outlineLevel="2">
      <c r="A1191" s="645">
        <v>2141128135</v>
      </c>
      <c r="B1191" s="635" t="s">
        <v>1100</v>
      </c>
      <c r="C1191" s="635" t="s">
        <v>1422</v>
      </c>
      <c r="D1191" s="635"/>
      <c r="E1191" s="635" t="s">
        <v>1494</v>
      </c>
      <c r="F1191" s="465" t="s">
        <v>39</v>
      </c>
      <c r="G1191" s="466">
        <v>0</v>
      </c>
      <c r="H1191" s="466">
        <v>0</v>
      </c>
      <c r="I1191" s="467">
        <v>0.092</v>
      </c>
      <c r="J1191" s="468">
        <v>0</v>
      </c>
    </row>
    <row r="1192" spans="1:10" ht="12.75" outlineLevel="2">
      <c r="A1192" s="645">
        <v>2141128136</v>
      </c>
      <c r="B1192" s="635" t="s">
        <v>1101</v>
      </c>
      <c r="C1192" s="635" t="s">
        <v>1422</v>
      </c>
      <c r="D1192" s="635"/>
      <c r="E1192" s="635" t="s">
        <v>1494</v>
      </c>
      <c r="F1192" s="465" t="s">
        <v>473</v>
      </c>
      <c r="G1192" s="466">
        <v>0</v>
      </c>
      <c r="H1192" s="466">
        <v>0.317</v>
      </c>
      <c r="I1192" s="467">
        <v>0</v>
      </c>
      <c r="J1192" s="468">
        <v>0.317</v>
      </c>
    </row>
    <row r="1193" spans="1:10" ht="12.75" outlineLevel="2">
      <c r="A1193" s="645">
        <v>2141128136</v>
      </c>
      <c r="B1193" s="635" t="s">
        <v>1101</v>
      </c>
      <c r="C1193" s="635" t="s">
        <v>1422</v>
      </c>
      <c r="D1193" s="635"/>
      <c r="E1193" s="635" t="s">
        <v>1494</v>
      </c>
      <c r="F1193" s="465" t="s">
        <v>118</v>
      </c>
      <c r="G1193" s="466">
        <v>0</v>
      </c>
      <c r="H1193" s="466">
        <v>2.949</v>
      </c>
      <c r="I1193" s="467">
        <v>0.223</v>
      </c>
      <c r="J1193" s="468">
        <v>2.726</v>
      </c>
    </row>
    <row r="1194" spans="1:10" ht="12.75" outlineLevel="2">
      <c r="A1194" s="645">
        <v>2141128136</v>
      </c>
      <c r="B1194" s="635" t="s">
        <v>1101</v>
      </c>
      <c r="C1194" s="635" t="s">
        <v>1422</v>
      </c>
      <c r="D1194" s="635"/>
      <c r="E1194" s="635" t="s">
        <v>1494</v>
      </c>
      <c r="F1194" s="465" t="s">
        <v>39</v>
      </c>
      <c r="G1194" s="466">
        <v>0</v>
      </c>
      <c r="H1194" s="466">
        <v>0</v>
      </c>
      <c r="I1194" s="467">
        <v>0.147</v>
      </c>
      <c r="J1194" s="468">
        <v>0</v>
      </c>
    </row>
    <row r="1195" spans="1:10" ht="12.75" outlineLevel="2">
      <c r="A1195" s="645">
        <v>2141128137</v>
      </c>
      <c r="B1195" s="635" t="s">
        <v>1102</v>
      </c>
      <c r="C1195" s="635" t="s">
        <v>1422</v>
      </c>
      <c r="D1195" s="635"/>
      <c r="E1195" s="635" t="s">
        <v>1494</v>
      </c>
      <c r="F1195" s="465" t="s">
        <v>2474</v>
      </c>
      <c r="G1195" s="466">
        <v>0</v>
      </c>
      <c r="H1195" s="466">
        <v>0</v>
      </c>
      <c r="I1195" s="467">
        <v>0.175</v>
      </c>
      <c r="J1195" s="468">
        <v>0</v>
      </c>
    </row>
    <row r="1196" spans="1:10" ht="12.75" outlineLevel="2">
      <c r="A1196" s="645">
        <v>2141128137</v>
      </c>
      <c r="B1196" s="635" t="s">
        <v>1102</v>
      </c>
      <c r="C1196" s="635" t="s">
        <v>1422</v>
      </c>
      <c r="D1196" s="635"/>
      <c r="E1196" s="635" t="s">
        <v>1494</v>
      </c>
      <c r="F1196" s="465" t="s">
        <v>118</v>
      </c>
      <c r="G1196" s="466">
        <v>0</v>
      </c>
      <c r="H1196" s="466">
        <v>5.066</v>
      </c>
      <c r="I1196" s="467">
        <v>4.814</v>
      </c>
      <c r="J1196" s="468">
        <v>0</v>
      </c>
    </row>
    <row r="1197" spans="1:10" ht="12.75" outlineLevel="2">
      <c r="A1197" s="645">
        <v>2141128137</v>
      </c>
      <c r="B1197" s="635" t="s">
        <v>1102</v>
      </c>
      <c r="C1197" s="635" t="s">
        <v>1422</v>
      </c>
      <c r="D1197" s="635"/>
      <c r="E1197" s="635" t="s">
        <v>1494</v>
      </c>
      <c r="F1197" s="465" t="s">
        <v>39</v>
      </c>
      <c r="G1197" s="466">
        <v>0</v>
      </c>
      <c r="H1197" s="466">
        <v>0</v>
      </c>
      <c r="I1197" s="467">
        <v>0.566</v>
      </c>
      <c r="J1197" s="468">
        <v>0</v>
      </c>
    </row>
    <row r="1198" spans="1:10" ht="12.75" outlineLevel="2">
      <c r="A1198" s="645">
        <v>2141128138</v>
      </c>
      <c r="B1198" s="635" t="s">
        <v>1103</v>
      </c>
      <c r="C1198" s="635" t="s">
        <v>1422</v>
      </c>
      <c r="D1198" s="635"/>
      <c r="E1198" s="635" t="s">
        <v>1494</v>
      </c>
      <c r="F1198" s="465" t="s">
        <v>473</v>
      </c>
      <c r="G1198" s="466">
        <v>0</v>
      </c>
      <c r="H1198" s="466">
        <v>0.337</v>
      </c>
      <c r="I1198" s="467">
        <v>0</v>
      </c>
      <c r="J1198" s="468">
        <v>0.337</v>
      </c>
    </row>
    <row r="1199" spans="1:10" ht="12.75" outlineLevel="2">
      <c r="A1199" s="645">
        <v>2141128138</v>
      </c>
      <c r="B1199" s="635" t="s">
        <v>1103</v>
      </c>
      <c r="C1199" s="635" t="s">
        <v>1422</v>
      </c>
      <c r="D1199" s="635"/>
      <c r="E1199" s="635" t="s">
        <v>1494</v>
      </c>
      <c r="F1199" s="465" t="s">
        <v>118</v>
      </c>
      <c r="G1199" s="466">
        <v>0</v>
      </c>
      <c r="H1199" s="466">
        <v>3.928</v>
      </c>
      <c r="I1199" s="467">
        <v>0.441</v>
      </c>
      <c r="J1199" s="468">
        <v>3.487</v>
      </c>
    </row>
    <row r="1200" spans="1:10" ht="12.75" outlineLevel="2">
      <c r="A1200" s="645">
        <v>2141128138</v>
      </c>
      <c r="B1200" s="635" t="s">
        <v>1103</v>
      </c>
      <c r="C1200" s="635" t="s">
        <v>1422</v>
      </c>
      <c r="D1200" s="635"/>
      <c r="E1200" s="635" t="s">
        <v>1494</v>
      </c>
      <c r="F1200" s="465" t="s">
        <v>39</v>
      </c>
      <c r="G1200" s="466">
        <v>0</v>
      </c>
      <c r="H1200" s="466">
        <v>0</v>
      </c>
      <c r="I1200" s="467">
        <v>0.525</v>
      </c>
      <c r="J1200" s="468">
        <v>0</v>
      </c>
    </row>
    <row r="1201" spans="1:10" ht="12.75" outlineLevel="2">
      <c r="A1201" s="645">
        <v>2141128139</v>
      </c>
      <c r="B1201" s="635" t="s">
        <v>1104</v>
      </c>
      <c r="C1201" s="635" t="s">
        <v>1422</v>
      </c>
      <c r="D1201" s="635"/>
      <c r="E1201" s="635" t="s">
        <v>1494</v>
      </c>
      <c r="F1201" s="465" t="s">
        <v>473</v>
      </c>
      <c r="G1201" s="466">
        <v>0</v>
      </c>
      <c r="H1201" s="466">
        <v>0.653</v>
      </c>
      <c r="I1201" s="467">
        <v>0</v>
      </c>
      <c r="J1201" s="468">
        <v>0.653</v>
      </c>
    </row>
    <row r="1202" spans="1:10" ht="12.75" outlineLevel="2">
      <c r="A1202" s="645">
        <v>2141128139</v>
      </c>
      <c r="B1202" s="635" t="s">
        <v>1104</v>
      </c>
      <c r="C1202" s="635" t="s">
        <v>1422</v>
      </c>
      <c r="D1202" s="635"/>
      <c r="E1202" s="635" t="s">
        <v>1494</v>
      </c>
      <c r="F1202" s="465" t="s">
        <v>118</v>
      </c>
      <c r="G1202" s="466">
        <v>0</v>
      </c>
      <c r="H1202" s="466">
        <v>3.291</v>
      </c>
      <c r="I1202" s="467">
        <v>0.249</v>
      </c>
      <c r="J1202" s="468">
        <v>3.042</v>
      </c>
    </row>
    <row r="1203" spans="1:10" ht="12.75" outlineLevel="2">
      <c r="A1203" s="645">
        <v>2141128140</v>
      </c>
      <c r="B1203" s="635" t="s">
        <v>1105</v>
      </c>
      <c r="C1203" s="635" t="s">
        <v>1422</v>
      </c>
      <c r="D1203" s="635"/>
      <c r="E1203" s="635" t="s">
        <v>1494</v>
      </c>
      <c r="F1203" s="465" t="s">
        <v>473</v>
      </c>
      <c r="G1203" s="466">
        <v>0</v>
      </c>
      <c r="H1203" s="466">
        <v>0.249</v>
      </c>
      <c r="I1203" s="467">
        <v>0</v>
      </c>
      <c r="J1203" s="468">
        <v>0.249</v>
      </c>
    </row>
    <row r="1204" spans="1:10" ht="12.75" outlineLevel="2">
      <c r="A1204" s="645">
        <v>2141128140</v>
      </c>
      <c r="B1204" s="635" t="s">
        <v>1105</v>
      </c>
      <c r="C1204" s="635" t="s">
        <v>1422</v>
      </c>
      <c r="D1204" s="635"/>
      <c r="E1204" s="635" t="s">
        <v>1494</v>
      </c>
      <c r="F1204" s="465" t="s">
        <v>118</v>
      </c>
      <c r="G1204" s="466">
        <v>0</v>
      </c>
      <c r="H1204" s="466">
        <v>2.666</v>
      </c>
      <c r="I1204" s="467">
        <v>0.139</v>
      </c>
      <c r="J1204" s="468">
        <v>2.527</v>
      </c>
    </row>
    <row r="1205" spans="1:10" ht="12.75" outlineLevel="2">
      <c r="A1205" s="645">
        <v>2141128140</v>
      </c>
      <c r="B1205" s="635" t="s">
        <v>1105</v>
      </c>
      <c r="C1205" s="635" t="s">
        <v>1422</v>
      </c>
      <c r="D1205" s="635"/>
      <c r="E1205" s="635" t="s">
        <v>1494</v>
      </c>
      <c r="F1205" s="465" t="s">
        <v>39</v>
      </c>
      <c r="G1205" s="466">
        <v>0</v>
      </c>
      <c r="H1205" s="466">
        <v>0</v>
      </c>
      <c r="I1205" s="467">
        <v>0.166</v>
      </c>
      <c r="J1205" s="468">
        <v>0</v>
      </c>
    </row>
    <row r="1206" spans="1:10" ht="12.75" outlineLevel="2">
      <c r="A1206" s="645">
        <v>2141128141</v>
      </c>
      <c r="B1206" s="635" t="s">
        <v>1106</v>
      </c>
      <c r="C1206" s="635" t="s">
        <v>1422</v>
      </c>
      <c r="D1206" s="635"/>
      <c r="E1206" s="635" t="s">
        <v>1494</v>
      </c>
      <c r="F1206" s="465" t="s">
        <v>473</v>
      </c>
      <c r="G1206" s="466">
        <v>0</v>
      </c>
      <c r="H1206" s="466">
        <v>0.311</v>
      </c>
      <c r="I1206" s="467">
        <v>0</v>
      </c>
      <c r="J1206" s="468">
        <v>0.311</v>
      </c>
    </row>
    <row r="1207" spans="1:10" ht="12.75" outlineLevel="2">
      <c r="A1207" s="645">
        <v>2141128141</v>
      </c>
      <c r="B1207" s="635" t="s">
        <v>1106</v>
      </c>
      <c r="C1207" s="635" t="s">
        <v>1422</v>
      </c>
      <c r="D1207" s="635"/>
      <c r="E1207" s="635" t="s">
        <v>1494</v>
      </c>
      <c r="F1207" s="465" t="s">
        <v>118</v>
      </c>
      <c r="G1207" s="466">
        <v>0</v>
      </c>
      <c r="H1207" s="466">
        <v>2.459</v>
      </c>
      <c r="I1207" s="467">
        <v>0.159</v>
      </c>
      <c r="J1207" s="468">
        <v>2.3</v>
      </c>
    </row>
    <row r="1208" spans="1:10" ht="12.75" outlineLevel="2">
      <c r="A1208" s="645">
        <v>2141128141</v>
      </c>
      <c r="B1208" s="635" t="s">
        <v>1106</v>
      </c>
      <c r="C1208" s="635" t="s">
        <v>1422</v>
      </c>
      <c r="D1208" s="635"/>
      <c r="E1208" s="635" t="s">
        <v>1494</v>
      </c>
      <c r="F1208" s="465" t="s">
        <v>39</v>
      </c>
      <c r="G1208" s="466">
        <v>0</v>
      </c>
      <c r="H1208" s="466">
        <v>0</v>
      </c>
      <c r="I1208" s="467">
        <v>0.171</v>
      </c>
      <c r="J1208" s="468">
        <v>0</v>
      </c>
    </row>
    <row r="1209" spans="1:10" ht="12.75" outlineLevel="2">
      <c r="A1209" s="645">
        <v>2141128142</v>
      </c>
      <c r="B1209" s="635" t="s">
        <v>1107</v>
      </c>
      <c r="C1209" s="635" t="s">
        <v>1422</v>
      </c>
      <c r="D1209" s="635"/>
      <c r="E1209" s="635" t="s">
        <v>1494</v>
      </c>
      <c r="F1209" s="465" t="s">
        <v>473</v>
      </c>
      <c r="G1209" s="466">
        <v>0</v>
      </c>
      <c r="H1209" s="466">
        <v>0.404</v>
      </c>
      <c r="I1209" s="467">
        <v>0</v>
      </c>
      <c r="J1209" s="468">
        <v>0.404</v>
      </c>
    </row>
    <row r="1210" spans="1:10" ht="12.75" outlineLevel="2">
      <c r="A1210" s="645">
        <v>2141128142</v>
      </c>
      <c r="B1210" s="635" t="s">
        <v>1107</v>
      </c>
      <c r="C1210" s="635" t="s">
        <v>1422</v>
      </c>
      <c r="D1210" s="635"/>
      <c r="E1210" s="635" t="s">
        <v>1494</v>
      </c>
      <c r="F1210" s="465" t="s">
        <v>118</v>
      </c>
      <c r="G1210" s="466">
        <v>0</v>
      </c>
      <c r="H1210" s="466">
        <v>3.293</v>
      </c>
      <c r="I1210" s="467">
        <v>0.201</v>
      </c>
      <c r="J1210" s="468">
        <v>3.092</v>
      </c>
    </row>
    <row r="1211" spans="1:10" ht="12.75" outlineLevel="2">
      <c r="A1211" s="645">
        <v>2141128142</v>
      </c>
      <c r="B1211" s="635" t="s">
        <v>1107</v>
      </c>
      <c r="C1211" s="635" t="s">
        <v>1422</v>
      </c>
      <c r="D1211" s="635"/>
      <c r="E1211" s="635" t="s">
        <v>1494</v>
      </c>
      <c r="F1211" s="465" t="s">
        <v>39</v>
      </c>
      <c r="G1211" s="466">
        <v>0</v>
      </c>
      <c r="H1211" s="466">
        <v>0</v>
      </c>
      <c r="I1211" s="467">
        <v>0.267</v>
      </c>
      <c r="J1211" s="468">
        <v>0</v>
      </c>
    </row>
    <row r="1212" spans="1:10" ht="12.75" outlineLevel="2">
      <c r="A1212" s="645">
        <v>2141128143</v>
      </c>
      <c r="B1212" s="635" t="s">
        <v>1108</v>
      </c>
      <c r="C1212" s="635" t="s">
        <v>1422</v>
      </c>
      <c r="D1212" s="635"/>
      <c r="E1212" s="635" t="s">
        <v>1494</v>
      </c>
      <c r="F1212" s="465" t="s">
        <v>473</v>
      </c>
      <c r="G1212" s="466">
        <v>0</v>
      </c>
      <c r="H1212" s="466">
        <v>0.349</v>
      </c>
      <c r="I1212" s="467">
        <v>0</v>
      </c>
      <c r="J1212" s="468">
        <v>0.349</v>
      </c>
    </row>
    <row r="1213" spans="1:10" ht="12.75" outlineLevel="2">
      <c r="A1213" s="645">
        <v>2141128143</v>
      </c>
      <c r="B1213" s="635" t="s">
        <v>1108</v>
      </c>
      <c r="C1213" s="635" t="s">
        <v>1422</v>
      </c>
      <c r="D1213" s="635"/>
      <c r="E1213" s="635" t="s">
        <v>1494</v>
      </c>
      <c r="F1213" s="465" t="s">
        <v>118</v>
      </c>
      <c r="G1213" s="466">
        <v>0</v>
      </c>
      <c r="H1213" s="466">
        <v>2.525</v>
      </c>
      <c r="I1213" s="467">
        <v>0.212</v>
      </c>
      <c r="J1213" s="468">
        <v>2.313</v>
      </c>
    </row>
    <row r="1214" spans="1:10" ht="12.75" outlineLevel="2">
      <c r="A1214" s="645">
        <v>2141128143</v>
      </c>
      <c r="B1214" s="635" t="s">
        <v>1108</v>
      </c>
      <c r="C1214" s="635" t="s">
        <v>1422</v>
      </c>
      <c r="D1214" s="635"/>
      <c r="E1214" s="635" t="s">
        <v>1494</v>
      </c>
      <c r="F1214" s="465" t="s">
        <v>39</v>
      </c>
      <c r="G1214" s="466">
        <v>0</v>
      </c>
      <c r="H1214" s="466">
        <v>0</v>
      </c>
      <c r="I1214" s="467">
        <v>0.1</v>
      </c>
      <c r="J1214" s="468">
        <v>0</v>
      </c>
    </row>
    <row r="1215" spans="1:10" ht="12.75" outlineLevel="2">
      <c r="A1215" s="645">
        <v>2141128144</v>
      </c>
      <c r="B1215" s="635" t="s">
        <v>1109</v>
      </c>
      <c r="C1215" s="635" t="s">
        <v>1422</v>
      </c>
      <c r="D1215" s="635"/>
      <c r="E1215" s="635" t="s">
        <v>1494</v>
      </c>
      <c r="F1215" s="465" t="s">
        <v>473</v>
      </c>
      <c r="G1215" s="466">
        <v>0</v>
      </c>
      <c r="H1215" s="466">
        <v>0.276</v>
      </c>
      <c r="I1215" s="467">
        <v>0.276</v>
      </c>
      <c r="J1215" s="468">
        <v>0</v>
      </c>
    </row>
    <row r="1216" spans="1:10" ht="12.75" outlineLevel="2">
      <c r="A1216" s="645">
        <v>2141128144</v>
      </c>
      <c r="B1216" s="635" t="s">
        <v>1109</v>
      </c>
      <c r="C1216" s="635" t="s">
        <v>1422</v>
      </c>
      <c r="D1216" s="635"/>
      <c r="E1216" s="635" t="s">
        <v>1494</v>
      </c>
      <c r="F1216" s="465" t="s">
        <v>118</v>
      </c>
      <c r="G1216" s="466">
        <v>0</v>
      </c>
      <c r="H1216" s="466">
        <v>2.186</v>
      </c>
      <c r="I1216" s="467">
        <v>2.124</v>
      </c>
      <c r="J1216" s="468">
        <v>0.062</v>
      </c>
    </row>
    <row r="1217" spans="1:10" ht="12.75" outlineLevel="2">
      <c r="A1217" s="645">
        <v>2141128144</v>
      </c>
      <c r="B1217" s="635" t="s">
        <v>1109</v>
      </c>
      <c r="C1217" s="635" t="s">
        <v>1422</v>
      </c>
      <c r="D1217" s="635"/>
      <c r="E1217" s="635" t="s">
        <v>1494</v>
      </c>
      <c r="F1217" s="465" t="s">
        <v>39</v>
      </c>
      <c r="G1217" s="466">
        <v>0</v>
      </c>
      <c r="H1217" s="466">
        <v>0</v>
      </c>
      <c r="I1217" s="467">
        <v>0.398</v>
      </c>
      <c r="J1217" s="468">
        <v>0</v>
      </c>
    </row>
    <row r="1218" spans="1:10" ht="12.75" outlineLevel="2">
      <c r="A1218" s="645">
        <v>2141128145</v>
      </c>
      <c r="B1218" s="635" t="s">
        <v>1110</v>
      </c>
      <c r="C1218" s="635" t="s">
        <v>1422</v>
      </c>
      <c r="D1218" s="635"/>
      <c r="E1218" s="635" t="s">
        <v>1494</v>
      </c>
      <c r="F1218" s="465" t="s">
        <v>118</v>
      </c>
      <c r="G1218" s="466">
        <v>0</v>
      </c>
      <c r="H1218" s="466">
        <v>3.202</v>
      </c>
      <c r="I1218" s="467">
        <v>0.829</v>
      </c>
      <c r="J1218" s="468">
        <v>2.373</v>
      </c>
    </row>
    <row r="1219" spans="1:10" ht="12.75" outlineLevel="2">
      <c r="A1219" s="645">
        <v>2141128145</v>
      </c>
      <c r="B1219" s="635" t="s">
        <v>1110</v>
      </c>
      <c r="C1219" s="635" t="s">
        <v>1422</v>
      </c>
      <c r="D1219" s="635"/>
      <c r="E1219" s="635" t="s">
        <v>1494</v>
      </c>
      <c r="F1219" s="465" t="s">
        <v>39</v>
      </c>
      <c r="G1219" s="466">
        <v>0</v>
      </c>
      <c r="H1219" s="466">
        <v>0</v>
      </c>
      <c r="I1219" s="467">
        <v>0.159</v>
      </c>
      <c r="J1219" s="468">
        <v>0</v>
      </c>
    </row>
    <row r="1220" spans="1:10" ht="12.75" outlineLevel="2">
      <c r="A1220" s="645">
        <v>2141128146</v>
      </c>
      <c r="B1220" s="635" t="s">
        <v>1111</v>
      </c>
      <c r="C1220" s="635" t="s">
        <v>1422</v>
      </c>
      <c r="D1220" s="635"/>
      <c r="E1220" s="635" t="s">
        <v>1494</v>
      </c>
      <c r="F1220" s="465" t="s">
        <v>118</v>
      </c>
      <c r="G1220" s="466">
        <v>0</v>
      </c>
      <c r="H1220" s="466">
        <v>3.14</v>
      </c>
      <c r="I1220" s="467">
        <v>0</v>
      </c>
      <c r="J1220" s="468">
        <v>3.14</v>
      </c>
    </row>
    <row r="1221" spans="1:10" ht="12.75" outlineLevel="2">
      <c r="A1221" s="645">
        <v>2141128146</v>
      </c>
      <c r="B1221" s="635" t="s">
        <v>1111</v>
      </c>
      <c r="C1221" s="635" t="s">
        <v>1422</v>
      </c>
      <c r="D1221" s="635"/>
      <c r="E1221" s="635" t="s">
        <v>1494</v>
      </c>
      <c r="F1221" s="465" t="s">
        <v>39</v>
      </c>
      <c r="G1221" s="466">
        <v>0</v>
      </c>
      <c r="H1221" s="466">
        <v>0</v>
      </c>
      <c r="I1221" s="467">
        <v>0.412</v>
      </c>
      <c r="J1221" s="468">
        <v>0</v>
      </c>
    </row>
    <row r="1222" spans="1:10" ht="12.75" outlineLevel="2">
      <c r="A1222" s="645">
        <v>2141128147</v>
      </c>
      <c r="B1222" s="635" t="s">
        <v>1112</v>
      </c>
      <c r="C1222" s="635" t="s">
        <v>1422</v>
      </c>
      <c r="D1222" s="635"/>
      <c r="E1222" s="635" t="s">
        <v>1494</v>
      </c>
      <c r="F1222" s="465" t="s">
        <v>2474</v>
      </c>
      <c r="G1222" s="466">
        <v>0</v>
      </c>
      <c r="H1222" s="466">
        <v>0</v>
      </c>
      <c r="I1222" s="467">
        <v>0.059</v>
      </c>
      <c r="J1222" s="468">
        <v>0</v>
      </c>
    </row>
    <row r="1223" spans="1:10" ht="12.75" outlineLevel="2">
      <c r="A1223" s="645">
        <v>2141128147</v>
      </c>
      <c r="B1223" s="635" t="s">
        <v>1112</v>
      </c>
      <c r="C1223" s="635" t="s">
        <v>1422</v>
      </c>
      <c r="D1223" s="635"/>
      <c r="E1223" s="635" t="s">
        <v>1494</v>
      </c>
      <c r="F1223" s="465" t="s">
        <v>118</v>
      </c>
      <c r="G1223" s="466">
        <v>0</v>
      </c>
      <c r="H1223" s="466">
        <v>0.881</v>
      </c>
      <c r="I1223" s="467">
        <v>0.851</v>
      </c>
      <c r="J1223" s="468">
        <v>0</v>
      </c>
    </row>
    <row r="1224" spans="1:10" ht="12.75" outlineLevel="2">
      <c r="A1224" s="645">
        <v>2141128147</v>
      </c>
      <c r="B1224" s="635" t="s">
        <v>1112</v>
      </c>
      <c r="C1224" s="635" t="s">
        <v>1422</v>
      </c>
      <c r="D1224" s="635"/>
      <c r="E1224" s="635" t="s">
        <v>1494</v>
      </c>
      <c r="F1224" s="465" t="s">
        <v>39</v>
      </c>
      <c r="G1224" s="466">
        <v>0</v>
      </c>
      <c r="H1224" s="466">
        <v>0</v>
      </c>
      <c r="I1224" s="467">
        <v>0.091</v>
      </c>
      <c r="J1224" s="468">
        <v>0</v>
      </c>
    </row>
    <row r="1225" spans="1:10" ht="12.75" outlineLevel="2">
      <c r="A1225" s="645">
        <v>2141128148</v>
      </c>
      <c r="B1225" s="635" t="s">
        <v>1113</v>
      </c>
      <c r="C1225" s="635" t="s">
        <v>1422</v>
      </c>
      <c r="D1225" s="635"/>
      <c r="E1225" s="635" t="s">
        <v>1494</v>
      </c>
      <c r="F1225" s="465" t="s">
        <v>2474</v>
      </c>
      <c r="G1225" s="466">
        <v>0</v>
      </c>
      <c r="H1225" s="466">
        <v>0</v>
      </c>
      <c r="I1225" s="467">
        <v>0.18</v>
      </c>
      <c r="J1225" s="468">
        <v>0</v>
      </c>
    </row>
    <row r="1226" spans="1:10" ht="12.75" outlineLevel="2">
      <c r="A1226" s="645">
        <v>2141128148</v>
      </c>
      <c r="B1226" s="635" t="s">
        <v>1113</v>
      </c>
      <c r="C1226" s="635" t="s">
        <v>1422</v>
      </c>
      <c r="D1226" s="635"/>
      <c r="E1226" s="635" t="s">
        <v>1494</v>
      </c>
      <c r="F1226" s="465" t="s">
        <v>118</v>
      </c>
      <c r="G1226" s="466">
        <v>0</v>
      </c>
      <c r="H1226" s="466">
        <v>3.054</v>
      </c>
      <c r="I1226" s="467">
        <v>3.054</v>
      </c>
      <c r="J1226" s="468">
        <v>0</v>
      </c>
    </row>
    <row r="1227" spans="1:10" ht="12.75" outlineLevel="2">
      <c r="A1227" s="645">
        <v>2141128148</v>
      </c>
      <c r="B1227" s="635" t="s">
        <v>1113</v>
      </c>
      <c r="C1227" s="635" t="s">
        <v>1422</v>
      </c>
      <c r="D1227" s="635"/>
      <c r="E1227" s="635" t="s">
        <v>1494</v>
      </c>
      <c r="F1227" s="465" t="s">
        <v>39</v>
      </c>
      <c r="G1227" s="466">
        <v>0</v>
      </c>
      <c r="H1227" s="466">
        <v>0</v>
      </c>
      <c r="I1227" s="467">
        <v>0.268</v>
      </c>
      <c r="J1227" s="468">
        <v>0</v>
      </c>
    </row>
    <row r="1228" spans="1:10" ht="12.75" outlineLevel="2">
      <c r="A1228" s="645">
        <v>2141128149</v>
      </c>
      <c r="B1228" s="635" t="s">
        <v>1114</v>
      </c>
      <c r="C1228" s="635" t="s">
        <v>1422</v>
      </c>
      <c r="D1228" s="635"/>
      <c r="E1228" s="635" t="s">
        <v>1494</v>
      </c>
      <c r="F1228" s="465" t="s">
        <v>473</v>
      </c>
      <c r="G1228" s="466">
        <v>0</v>
      </c>
      <c r="H1228" s="466">
        <v>0.19</v>
      </c>
      <c r="I1228" s="467">
        <v>0</v>
      </c>
      <c r="J1228" s="468">
        <v>0.19</v>
      </c>
    </row>
    <row r="1229" spans="1:10" ht="12.75" outlineLevel="2">
      <c r="A1229" s="645">
        <v>2141128149</v>
      </c>
      <c r="B1229" s="635" t="s">
        <v>1114</v>
      </c>
      <c r="C1229" s="635" t="s">
        <v>1422</v>
      </c>
      <c r="D1229" s="635"/>
      <c r="E1229" s="635" t="s">
        <v>1494</v>
      </c>
      <c r="F1229" s="465" t="s">
        <v>118</v>
      </c>
      <c r="G1229" s="466">
        <v>0</v>
      </c>
      <c r="H1229" s="466">
        <v>2.402</v>
      </c>
      <c r="I1229" s="467">
        <v>0.172</v>
      </c>
      <c r="J1229" s="468">
        <v>2.23</v>
      </c>
    </row>
    <row r="1230" spans="1:10" ht="12.75" outlineLevel="2">
      <c r="A1230" s="645">
        <v>2141128150</v>
      </c>
      <c r="B1230" s="635" t="s">
        <v>1115</v>
      </c>
      <c r="C1230" s="635" t="s">
        <v>1422</v>
      </c>
      <c r="D1230" s="635"/>
      <c r="E1230" s="635" t="s">
        <v>1494</v>
      </c>
      <c r="F1230" s="465" t="s">
        <v>473</v>
      </c>
      <c r="G1230" s="466">
        <v>0</v>
      </c>
      <c r="H1230" s="466">
        <v>0.223</v>
      </c>
      <c r="I1230" s="467">
        <v>0</v>
      </c>
      <c r="J1230" s="468">
        <v>0.223</v>
      </c>
    </row>
    <row r="1231" spans="1:10" ht="12.75" outlineLevel="2">
      <c r="A1231" s="645">
        <v>2141128150</v>
      </c>
      <c r="B1231" s="635" t="s">
        <v>1115</v>
      </c>
      <c r="C1231" s="635" t="s">
        <v>1422</v>
      </c>
      <c r="D1231" s="635"/>
      <c r="E1231" s="635" t="s">
        <v>1494</v>
      </c>
      <c r="F1231" s="465" t="s">
        <v>118</v>
      </c>
      <c r="G1231" s="466">
        <v>0</v>
      </c>
      <c r="H1231" s="466">
        <v>2.885</v>
      </c>
      <c r="I1231" s="467">
        <v>0.278</v>
      </c>
      <c r="J1231" s="468">
        <v>2.607</v>
      </c>
    </row>
    <row r="1232" spans="1:10" ht="12.75" outlineLevel="2">
      <c r="A1232" s="645">
        <v>2141128151</v>
      </c>
      <c r="B1232" s="635" t="s">
        <v>1116</v>
      </c>
      <c r="C1232" s="635" t="s">
        <v>1422</v>
      </c>
      <c r="D1232" s="635"/>
      <c r="E1232" s="635" t="s">
        <v>1494</v>
      </c>
      <c r="F1232" s="465" t="s">
        <v>473</v>
      </c>
      <c r="G1232" s="466">
        <v>0</v>
      </c>
      <c r="H1232" s="466">
        <v>0.309</v>
      </c>
      <c r="I1232" s="467">
        <v>0</v>
      </c>
      <c r="J1232" s="468">
        <v>0.309</v>
      </c>
    </row>
    <row r="1233" spans="1:10" ht="12.75" outlineLevel="2">
      <c r="A1233" s="645">
        <v>2141128151</v>
      </c>
      <c r="B1233" s="635" t="s">
        <v>1116</v>
      </c>
      <c r="C1233" s="635" t="s">
        <v>1422</v>
      </c>
      <c r="D1233" s="635"/>
      <c r="E1233" s="635" t="s">
        <v>1494</v>
      </c>
      <c r="F1233" s="465" t="s">
        <v>118</v>
      </c>
      <c r="G1233" s="466">
        <v>0</v>
      </c>
      <c r="H1233" s="466">
        <v>2.291</v>
      </c>
      <c r="I1233" s="467">
        <v>0.201</v>
      </c>
      <c r="J1233" s="468">
        <v>2.09</v>
      </c>
    </row>
    <row r="1234" spans="1:10" ht="12.75" outlineLevel="2">
      <c r="A1234" s="645">
        <v>2141128152</v>
      </c>
      <c r="B1234" s="635" t="s">
        <v>1117</v>
      </c>
      <c r="C1234" s="635" t="s">
        <v>1422</v>
      </c>
      <c r="D1234" s="635"/>
      <c r="E1234" s="635" t="s">
        <v>1494</v>
      </c>
      <c r="F1234" s="465" t="s">
        <v>473</v>
      </c>
      <c r="G1234" s="466">
        <v>0</v>
      </c>
      <c r="H1234" s="466">
        <v>0.547</v>
      </c>
      <c r="I1234" s="467">
        <v>0</v>
      </c>
      <c r="J1234" s="468">
        <v>0.547</v>
      </c>
    </row>
    <row r="1235" spans="1:10" ht="12.75" outlineLevel="2">
      <c r="A1235" s="645">
        <v>2141128152</v>
      </c>
      <c r="B1235" s="635" t="s">
        <v>1117</v>
      </c>
      <c r="C1235" s="635" t="s">
        <v>1422</v>
      </c>
      <c r="D1235" s="635"/>
      <c r="E1235" s="635" t="s">
        <v>1494</v>
      </c>
      <c r="F1235" s="465" t="s">
        <v>118</v>
      </c>
      <c r="G1235" s="466">
        <v>0</v>
      </c>
      <c r="H1235" s="466">
        <v>2.711</v>
      </c>
      <c r="I1235" s="467">
        <v>0.186</v>
      </c>
      <c r="J1235" s="468">
        <v>2.525</v>
      </c>
    </row>
    <row r="1236" spans="1:10" ht="12.75" outlineLevel="2">
      <c r="A1236" s="645">
        <v>2141128153</v>
      </c>
      <c r="B1236" s="635" t="s">
        <v>1118</v>
      </c>
      <c r="C1236" s="635" t="s">
        <v>1422</v>
      </c>
      <c r="D1236" s="635"/>
      <c r="E1236" s="635" t="s">
        <v>1494</v>
      </c>
      <c r="F1236" s="465" t="s">
        <v>473</v>
      </c>
      <c r="G1236" s="466">
        <v>0</v>
      </c>
      <c r="H1236" s="466">
        <v>0.331</v>
      </c>
      <c r="I1236" s="467">
        <v>0</v>
      </c>
      <c r="J1236" s="468">
        <v>0.331</v>
      </c>
    </row>
    <row r="1237" spans="1:10" ht="12.75" outlineLevel="2">
      <c r="A1237" s="645">
        <v>2141128153</v>
      </c>
      <c r="B1237" s="635" t="s">
        <v>1118</v>
      </c>
      <c r="C1237" s="635" t="s">
        <v>1422</v>
      </c>
      <c r="D1237" s="635"/>
      <c r="E1237" s="635" t="s">
        <v>1494</v>
      </c>
      <c r="F1237" s="465" t="s">
        <v>118</v>
      </c>
      <c r="G1237" s="466">
        <v>0</v>
      </c>
      <c r="H1237" s="466">
        <v>1.959</v>
      </c>
      <c r="I1237" s="467">
        <v>0.158</v>
      </c>
      <c r="J1237" s="468">
        <v>1.801</v>
      </c>
    </row>
    <row r="1238" spans="1:10" ht="12.75" outlineLevel="2">
      <c r="A1238" s="645">
        <v>2141128154</v>
      </c>
      <c r="B1238" s="635" t="s">
        <v>1119</v>
      </c>
      <c r="C1238" s="635" t="s">
        <v>1422</v>
      </c>
      <c r="D1238" s="635"/>
      <c r="E1238" s="635" t="s">
        <v>1494</v>
      </c>
      <c r="F1238" s="465" t="s">
        <v>1845</v>
      </c>
      <c r="G1238" s="466">
        <v>0</v>
      </c>
      <c r="H1238" s="466">
        <v>0.006</v>
      </c>
      <c r="I1238" s="467">
        <v>0.005</v>
      </c>
      <c r="J1238" s="468">
        <v>0</v>
      </c>
    </row>
    <row r="1239" spans="1:10" ht="12.75" outlineLevel="2">
      <c r="A1239" s="645">
        <v>2141128154</v>
      </c>
      <c r="B1239" s="635" t="s">
        <v>1119</v>
      </c>
      <c r="C1239" s="635" t="s">
        <v>1422</v>
      </c>
      <c r="D1239" s="635"/>
      <c r="E1239" s="635" t="s">
        <v>1494</v>
      </c>
      <c r="F1239" s="465" t="s">
        <v>96</v>
      </c>
      <c r="G1239" s="466">
        <v>0</v>
      </c>
      <c r="H1239" s="466">
        <v>3.68</v>
      </c>
      <c r="I1239" s="467">
        <v>3.679</v>
      </c>
      <c r="J1239" s="468">
        <v>0</v>
      </c>
    </row>
    <row r="1240" spans="1:10" ht="12.75" outlineLevel="2">
      <c r="A1240" s="645">
        <v>2141128155</v>
      </c>
      <c r="B1240" s="635" t="s">
        <v>1766</v>
      </c>
      <c r="C1240" s="635" t="s">
        <v>1424</v>
      </c>
      <c r="D1240" s="635"/>
      <c r="E1240" s="635" t="s">
        <v>1494</v>
      </c>
      <c r="F1240" s="465" t="s">
        <v>1845</v>
      </c>
      <c r="G1240" s="466">
        <v>0</v>
      </c>
      <c r="H1240" s="466">
        <v>0.169</v>
      </c>
      <c r="I1240" s="467">
        <v>0.168</v>
      </c>
      <c r="J1240" s="468">
        <v>0</v>
      </c>
    </row>
    <row r="1241" spans="1:10" ht="12.75" outlineLevel="2">
      <c r="A1241" s="645">
        <v>2141128155</v>
      </c>
      <c r="B1241" s="635" t="s">
        <v>1766</v>
      </c>
      <c r="C1241" s="635" t="s">
        <v>1424</v>
      </c>
      <c r="D1241" s="635"/>
      <c r="E1241" s="635" t="s">
        <v>1494</v>
      </c>
      <c r="F1241" s="465" t="s">
        <v>96</v>
      </c>
      <c r="G1241" s="466">
        <v>0</v>
      </c>
      <c r="H1241" s="466">
        <v>2.568</v>
      </c>
      <c r="I1241" s="467">
        <v>2.565</v>
      </c>
      <c r="J1241" s="468">
        <v>0</v>
      </c>
    </row>
    <row r="1242" spans="1:10" ht="12.75" outlineLevel="2">
      <c r="A1242" s="645">
        <v>2141128156</v>
      </c>
      <c r="B1242" s="635" t="s">
        <v>1767</v>
      </c>
      <c r="C1242" s="635" t="s">
        <v>1424</v>
      </c>
      <c r="D1242" s="635"/>
      <c r="E1242" s="635" t="s">
        <v>1494</v>
      </c>
      <c r="F1242" s="465" t="s">
        <v>118</v>
      </c>
      <c r="G1242" s="466">
        <v>0</v>
      </c>
      <c r="H1242" s="466">
        <v>2.71</v>
      </c>
      <c r="I1242" s="467">
        <v>0.195</v>
      </c>
      <c r="J1242" s="468">
        <v>2.515</v>
      </c>
    </row>
    <row r="1243" spans="1:10" ht="12.75" outlineLevel="2">
      <c r="A1243" s="645">
        <v>2141128157</v>
      </c>
      <c r="B1243" s="635" t="s">
        <v>1768</v>
      </c>
      <c r="C1243" s="635" t="s">
        <v>1424</v>
      </c>
      <c r="D1243" s="635"/>
      <c r="E1243" s="635" t="s">
        <v>1494</v>
      </c>
      <c r="F1243" s="465" t="s">
        <v>118</v>
      </c>
      <c r="G1243" s="466">
        <v>0</v>
      </c>
      <c r="H1243" s="466">
        <v>2.904</v>
      </c>
      <c r="I1243" s="467">
        <v>0.214</v>
      </c>
      <c r="J1243" s="468">
        <v>2.69</v>
      </c>
    </row>
    <row r="1244" spans="1:10" ht="12.75" outlineLevel="2">
      <c r="A1244" s="645">
        <v>2141128158</v>
      </c>
      <c r="B1244" s="635" t="s">
        <v>1769</v>
      </c>
      <c r="C1244" s="635" t="s">
        <v>1424</v>
      </c>
      <c r="D1244" s="635"/>
      <c r="E1244" s="635" t="s">
        <v>1494</v>
      </c>
      <c r="F1244" s="465" t="s">
        <v>118</v>
      </c>
      <c r="G1244" s="466">
        <v>0</v>
      </c>
      <c r="H1244" s="466">
        <v>1.166</v>
      </c>
      <c r="I1244" s="467">
        <v>0</v>
      </c>
      <c r="J1244" s="468">
        <v>1.166</v>
      </c>
    </row>
    <row r="1245" spans="1:10" ht="12.75" outlineLevel="2">
      <c r="A1245" s="645">
        <v>2141128159</v>
      </c>
      <c r="B1245" s="635" t="s">
        <v>1129</v>
      </c>
      <c r="C1245" s="635" t="s">
        <v>1424</v>
      </c>
      <c r="D1245" s="635"/>
      <c r="E1245" s="635" t="s">
        <v>1494</v>
      </c>
      <c r="F1245" s="465" t="s">
        <v>118</v>
      </c>
      <c r="G1245" s="466">
        <v>0</v>
      </c>
      <c r="H1245" s="466">
        <v>0.781</v>
      </c>
      <c r="I1245" s="467">
        <v>0.165</v>
      </c>
      <c r="J1245" s="468">
        <v>0.616</v>
      </c>
    </row>
    <row r="1246" spans="1:10" ht="12.75" outlineLevel="2">
      <c r="A1246" s="645">
        <v>2141128160</v>
      </c>
      <c r="B1246" s="635" t="s">
        <v>1130</v>
      </c>
      <c r="C1246" s="635" t="s">
        <v>1424</v>
      </c>
      <c r="D1246" s="635"/>
      <c r="E1246" s="635" t="s">
        <v>1494</v>
      </c>
      <c r="F1246" s="465" t="s">
        <v>118</v>
      </c>
      <c r="G1246" s="466">
        <v>0</v>
      </c>
      <c r="H1246" s="466">
        <v>2.527</v>
      </c>
      <c r="I1246" s="467">
        <v>0.18</v>
      </c>
      <c r="J1246" s="468">
        <v>2.347</v>
      </c>
    </row>
    <row r="1247" spans="1:10" ht="12.75" outlineLevel="2">
      <c r="A1247" s="645">
        <v>2141128161</v>
      </c>
      <c r="B1247" s="635" t="s">
        <v>1131</v>
      </c>
      <c r="C1247" s="635" t="s">
        <v>1424</v>
      </c>
      <c r="D1247" s="635"/>
      <c r="E1247" s="635" t="s">
        <v>1494</v>
      </c>
      <c r="F1247" s="465" t="s">
        <v>118</v>
      </c>
      <c r="G1247" s="466">
        <v>0</v>
      </c>
      <c r="H1247" s="466">
        <v>1.893</v>
      </c>
      <c r="I1247" s="467">
        <v>1.891</v>
      </c>
      <c r="J1247" s="468">
        <v>0</v>
      </c>
    </row>
    <row r="1248" spans="1:10" ht="12.75" outlineLevel="2">
      <c r="A1248" s="645">
        <v>2141128162</v>
      </c>
      <c r="B1248" s="635" t="s">
        <v>1132</v>
      </c>
      <c r="C1248" s="635" t="s">
        <v>1424</v>
      </c>
      <c r="D1248" s="635"/>
      <c r="E1248" s="635" t="s">
        <v>1494</v>
      </c>
      <c r="F1248" s="465" t="s">
        <v>118</v>
      </c>
      <c r="G1248" s="466">
        <v>0</v>
      </c>
      <c r="H1248" s="466">
        <v>2.692</v>
      </c>
      <c r="I1248" s="467">
        <v>0.215</v>
      </c>
      <c r="J1248" s="468">
        <v>2.477</v>
      </c>
    </row>
    <row r="1249" spans="1:10" ht="12.75" outlineLevel="2">
      <c r="A1249" s="645">
        <v>2141128163</v>
      </c>
      <c r="B1249" s="635" t="s">
        <v>1133</v>
      </c>
      <c r="C1249" s="635" t="s">
        <v>1424</v>
      </c>
      <c r="D1249" s="635"/>
      <c r="E1249" s="635" t="s">
        <v>1494</v>
      </c>
      <c r="F1249" s="465" t="s">
        <v>118</v>
      </c>
      <c r="G1249" s="466">
        <v>0</v>
      </c>
      <c r="H1249" s="466">
        <v>1.62</v>
      </c>
      <c r="I1249" s="467">
        <v>0.167</v>
      </c>
      <c r="J1249" s="468">
        <v>1.453</v>
      </c>
    </row>
    <row r="1250" spans="1:10" ht="12.75" outlineLevel="2">
      <c r="A1250" s="645">
        <v>2141128164</v>
      </c>
      <c r="B1250" s="635" t="s">
        <v>1134</v>
      </c>
      <c r="C1250" s="635" t="s">
        <v>1424</v>
      </c>
      <c r="D1250" s="635"/>
      <c r="E1250" s="635" t="s">
        <v>1494</v>
      </c>
      <c r="F1250" s="465" t="s">
        <v>118</v>
      </c>
      <c r="G1250" s="466">
        <v>0</v>
      </c>
      <c r="H1250" s="466">
        <v>3.405</v>
      </c>
      <c r="I1250" s="467">
        <v>0</v>
      </c>
      <c r="J1250" s="468">
        <v>3.405</v>
      </c>
    </row>
    <row r="1251" spans="1:10" ht="12.75" outlineLevel="2">
      <c r="A1251" s="645">
        <v>2141128165</v>
      </c>
      <c r="B1251" s="635" t="s">
        <v>1135</v>
      </c>
      <c r="C1251" s="635" t="s">
        <v>1424</v>
      </c>
      <c r="D1251" s="635"/>
      <c r="E1251" s="635" t="s">
        <v>1494</v>
      </c>
      <c r="F1251" s="465" t="s">
        <v>118</v>
      </c>
      <c r="G1251" s="466">
        <v>0</v>
      </c>
      <c r="H1251" s="466">
        <v>2.37</v>
      </c>
      <c r="I1251" s="467">
        <v>2.138</v>
      </c>
      <c r="J1251" s="468">
        <v>0</v>
      </c>
    </row>
    <row r="1252" spans="1:10" ht="12.75" outlineLevel="2">
      <c r="A1252" s="645">
        <v>2141128166</v>
      </c>
      <c r="B1252" s="635" t="s">
        <v>1136</v>
      </c>
      <c r="C1252" s="635" t="s">
        <v>1424</v>
      </c>
      <c r="D1252" s="635"/>
      <c r="E1252" s="635" t="s">
        <v>1494</v>
      </c>
      <c r="F1252" s="465" t="s">
        <v>118</v>
      </c>
      <c r="G1252" s="466">
        <v>0</v>
      </c>
      <c r="H1252" s="466">
        <v>2.84</v>
      </c>
      <c r="I1252" s="467">
        <v>2.467</v>
      </c>
      <c r="J1252" s="468">
        <v>0.373</v>
      </c>
    </row>
    <row r="1253" spans="1:10" ht="12.75" outlineLevel="2">
      <c r="A1253" s="645">
        <v>2141128167</v>
      </c>
      <c r="B1253" s="635" t="s">
        <v>1137</v>
      </c>
      <c r="C1253" s="635" t="s">
        <v>1424</v>
      </c>
      <c r="D1253" s="635"/>
      <c r="E1253" s="635" t="s">
        <v>1494</v>
      </c>
      <c r="F1253" s="465" t="s">
        <v>118</v>
      </c>
      <c r="G1253" s="466">
        <v>0</v>
      </c>
      <c r="H1253" s="466">
        <v>2.049</v>
      </c>
      <c r="I1253" s="467">
        <v>1.404</v>
      </c>
      <c r="J1253" s="468">
        <v>0</v>
      </c>
    </row>
    <row r="1254" spans="1:10" ht="12.75" outlineLevel="2">
      <c r="A1254" s="645">
        <v>2141128168</v>
      </c>
      <c r="B1254" s="635" t="s">
        <v>1138</v>
      </c>
      <c r="C1254" s="635" t="s">
        <v>1424</v>
      </c>
      <c r="D1254" s="635"/>
      <c r="E1254" s="635" t="s">
        <v>1494</v>
      </c>
      <c r="F1254" s="465" t="s">
        <v>118</v>
      </c>
      <c r="G1254" s="466">
        <v>0</v>
      </c>
      <c r="H1254" s="466">
        <v>2.32</v>
      </c>
      <c r="I1254" s="467">
        <v>1.88</v>
      </c>
      <c r="J1254" s="468">
        <v>0</v>
      </c>
    </row>
    <row r="1255" spans="1:10" ht="12.75" outlineLevel="2">
      <c r="A1255" s="645">
        <v>2141128169</v>
      </c>
      <c r="B1255" s="635" t="s">
        <v>1139</v>
      </c>
      <c r="C1255" s="635" t="s">
        <v>1424</v>
      </c>
      <c r="D1255" s="635"/>
      <c r="E1255" s="635" t="s">
        <v>1494</v>
      </c>
      <c r="F1255" s="465" t="s">
        <v>118</v>
      </c>
      <c r="G1255" s="466">
        <v>0</v>
      </c>
      <c r="H1255" s="466">
        <v>3.488</v>
      </c>
      <c r="I1255" s="467">
        <v>0</v>
      </c>
      <c r="J1255" s="468">
        <v>3.488</v>
      </c>
    </row>
    <row r="1256" spans="1:10" ht="12.75" outlineLevel="2">
      <c r="A1256" s="645">
        <v>2141128170</v>
      </c>
      <c r="B1256" s="635" t="s">
        <v>1140</v>
      </c>
      <c r="C1256" s="635" t="s">
        <v>1424</v>
      </c>
      <c r="D1256" s="635"/>
      <c r="E1256" s="635" t="s">
        <v>1494</v>
      </c>
      <c r="F1256" s="465" t="s">
        <v>118</v>
      </c>
      <c r="G1256" s="466">
        <v>0</v>
      </c>
      <c r="H1256" s="466">
        <v>2.203</v>
      </c>
      <c r="I1256" s="467">
        <v>2.2</v>
      </c>
      <c r="J1256" s="468">
        <v>0</v>
      </c>
    </row>
    <row r="1257" spans="1:10" ht="12.75" outlineLevel="2">
      <c r="A1257" s="645">
        <v>2141128171</v>
      </c>
      <c r="B1257" s="635" t="s">
        <v>1141</v>
      </c>
      <c r="C1257" s="635" t="s">
        <v>1424</v>
      </c>
      <c r="D1257" s="635"/>
      <c r="E1257" s="635" t="s">
        <v>1494</v>
      </c>
      <c r="F1257" s="465" t="s">
        <v>118</v>
      </c>
      <c r="G1257" s="466">
        <v>0</v>
      </c>
      <c r="H1257" s="466">
        <v>3.183</v>
      </c>
      <c r="I1257" s="467">
        <v>0.202</v>
      </c>
      <c r="J1257" s="468">
        <v>2.981</v>
      </c>
    </row>
    <row r="1258" spans="1:10" ht="12.75" outlineLevel="2">
      <c r="A1258" s="645">
        <v>2141128172</v>
      </c>
      <c r="B1258" s="635" t="s">
        <v>1142</v>
      </c>
      <c r="C1258" s="635" t="s">
        <v>1424</v>
      </c>
      <c r="D1258" s="635"/>
      <c r="E1258" s="635" t="s">
        <v>1494</v>
      </c>
      <c r="F1258" s="465" t="s">
        <v>118</v>
      </c>
      <c r="G1258" s="466">
        <v>0</v>
      </c>
      <c r="H1258" s="466">
        <v>2.806</v>
      </c>
      <c r="I1258" s="467">
        <v>0.197</v>
      </c>
      <c r="J1258" s="468">
        <v>2.609</v>
      </c>
    </row>
    <row r="1259" spans="1:10" ht="12.75" outlineLevel="2">
      <c r="A1259" s="645">
        <v>2141128173</v>
      </c>
      <c r="B1259" s="635" t="s">
        <v>1143</v>
      </c>
      <c r="C1259" s="635" t="s">
        <v>1424</v>
      </c>
      <c r="D1259" s="635"/>
      <c r="E1259" s="635" t="s">
        <v>1494</v>
      </c>
      <c r="F1259" s="465" t="s">
        <v>1845</v>
      </c>
      <c r="G1259" s="466">
        <v>0</v>
      </c>
      <c r="H1259" s="466">
        <v>1.8</v>
      </c>
      <c r="I1259" s="467">
        <v>1.8</v>
      </c>
      <c r="J1259" s="468">
        <v>0</v>
      </c>
    </row>
    <row r="1260" spans="1:10" ht="12.75" outlineLevel="2">
      <c r="A1260" s="645">
        <v>2141128174</v>
      </c>
      <c r="B1260" s="635" t="s">
        <v>1144</v>
      </c>
      <c r="C1260" s="635" t="s">
        <v>791</v>
      </c>
      <c r="D1260" s="635"/>
      <c r="E1260" s="635" t="s">
        <v>1494</v>
      </c>
      <c r="F1260" s="465" t="s">
        <v>473</v>
      </c>
      <c r="G1260" s="466">
        <v>0</v>
      </c>
      <c r="H1260" s="466">
        <v>0.196</v>
      </c>
      <c r="I1260" s="467">
        <v>0</v>
      </c>
      <c r="J1260" s="468">
        <v>0.196</v>
      </c>
    </row>
    <row r="1261" spans="1:10" ht="12.75" outlineLevel="2">
      <c r="A1261" s="645">
        <v>2141128174</v>
      </c>
      <c r="B1261" s="635" t="s">
        <v>1144</v>
      </c>
      <c r="C1261" s="635" t="s">
        <v>791</v>
      </c>
      <c r="D1261" s="635"/>
      <c r="E1261" s="635" t="s">
        <v>1494</v>
      </c>
      <c r="F1261" s="465" t="s">
        <v>118</v>
      </c>
      <c r="G1261" s="466">
        <v>0</v>
      </c>
      <c r="H1261" s="466">
        <v>3.715</v>
      </c>
      <c r="I1261" s="467">
        <v>3.283</v>
      </c>
      <c r="J1261" s="468">
        <v>0.432</v>
      </c>
    </row>
    <row r="1262" spans="1:10" ht="12.75" outlineLevel="2">
      <c r="A1262" s="645">
        <v>2141128174</v>
      </c>
      <c r="B1262" s="635" t="s">
        <v>1144</v>
      </c>
      <c r="C1262" s="635" t="s">
        <v>791</v>
      </c>
      <c r="D1262" s="635"/>
      <c r="E1262" s="635" t="s">
        <v>1494</v>
      </c>
      <c r="F1262" s="465" t="s">
        <v>39</v>
      </c>
      <c r="G1262" s="466">
        <v>0</v>
      </c>
      <c r="H1262" s="466">
        <v>0</v>
      </c>
      <c r="I1262" s="467">
        <v>0.54</v>
      </c>
      <c r="J1262" s="468">
        <v>0</v>
      </c>
    </row>
    <row r="1263" spans="1:10" ht="12.75" outlineLevel="2">
      <c r="A1263" s="645">
        <v>2141128175</v>
      </c>
      <c r="B1263" s="635" t="s">
        <v>1145</v>
      </c>
      <c r="C1263" s="635" t="s">
        <v>791</v>
      </c>
      <c r="D1263" s="635"/>
      <c r="E1263" s="635" t="s">
        <v>1494</v>
      </c>
      <c r="F1263" s="465" t="s">
        <v>473</v>
      </c>
      <c r="G1263" s="466">
        <v>0</v>
      </c>
      <c r="H1263" s="466">
        <v>0.2</v>
      </c>
      <c r="I1263" s="467">
        <v>0</v>
      </c>
      <c r="J1263" s="468">
        <v>0.2</v>
      </c>
    </row>
    <row r="1264" spans="1:10" ht="12.75" outlineLevel="2">
      <c r="A1264" s="645">
        <v>2141128175</v>
      </c>
      <c r="B1264" s="635" t="s">
        <v>1145</v>
      </c>
      <c r="C1264" s="635" t="s">
        <v>791</v>
      </c>
      <c r="D1264" s="635"/>
      <c r="E1264" s="635" t="s">
        <v>1494</v>
      </c>
      <c r="F1264" s="465" t="s">
        <v>118</v>
      </c>
      <c r="G1264" s="466">
        <v>0</v>
      </c>
      <c r="H1264" s="466">
        <v>0.779</v>
      </c>
      <c r="I1264" s="467">
        <v>0</v>
      </c>
      <c r="J1264" s="468">
        <v>0.779</v>
      </c>
    </row>
    <row r="1265" spans="1:10" ht="12.75" outlineLevel="2">
      <c r="A1265" s="645">
        <v>2141128175</v>
      </c>
      <c r="B1265" s="635" t="s">
        <v>1145</v>
      </c>
      <c r="C1265" s="635" t="s">
        <v>791</v>
      </c>
      <c r="D1265" s="635"/>
      <c r="E1265" s="635" t="s">
        <v>1494</v>
      </c>
      <c r="F1265" s="465" t="s">
        <v>39</v>
      </c>
      <c r="G1265" s="466">
        <v>0</v>
      </c>
      <c r="H1265" s="466">
        <v>0</v>
      </c>
      <c r="I1265" s="467">
        <v>0.902</v>
      </c>
      <c r="J1265" s="468">
        <v>0</v>
      </c>
    </row>
    <row r="1266" spans="1:10" ht="12.75" outlineLevel="2">
      <c r="A1266" s="645">
        <v>2141128176</v>
      </c>
      <c r="B1266" s="635" t="s">
        <v>1146</v>
      </c>
      <c r="C1266" s="635" t="s">
        <v>1424</v>
      </c>
      <c r="D1266" s="635"/>
      <c r="E1266" s="635" t="s">
        <v>1494</v>
      </c>
      <c r="F1266" s="465" t="s">
        <v>1845</v>
      </c>
      <c r="G1266" s="466">
        <v>0</v>
      </c>
      <c r="H1266" s="466">
        <v>0.023</v>
      </c>
      <c r="I1266" s="467">
        <v>0.022</v>
      </c>
      <c r="J1266" s="468">
        <v>0</v>
      </c>
    </row>
    <row r="1267" spans="1:10" ht="12.75" outlineLevel="2">
      <c r="A1267" s="645">
        <v>2141128176</v>
      </c>
      <c r="B1267" s="635" t="s">
        <v>1146</v>
      </c>
      <c r="C1267" s="635" t="s">
        <v>1424</v>
      </c>
      <c r="D1267" s="635"/>
      <c r="E1267" s="635" t="s">
        <v>1494</v>
      </c>
      <c r="F1267" s="465" t="s">
        <v>96</v>
      </c>
      <c r="G1267" s="466">
        <v>0</v>
      </c>
      <c r="H1267" s="466">
        <v>4.194</v>
      </c>
      <c r="I1267" s="467">
        <v>4.193</v>
      </c>
      <c r="J1267" s="468">
        <v>0</v>
      </c>
    </row>
    <row r="1268" spans="1:10" ht="12.75" outlineLevel="2">
      <c r="A1268" s="645">
        <v>2141128177</v>
      </c>
      <c r="B1268" s="635" t="s">
        <v>1147</v>
      </c>
      <c r="C1268" s="635" t="s">
        <v>1424</v>
      </c>
      <c r="D1268" s="635"/>
      <c r="E1268" s="635" t="s">
        <v>1494</v>
      </c>
      <c r="F1268" s="465" t="s">
        <v>96</v>
      </c>
      <c r="G1268" s="466">
        <v>0</v>
      </c>
      <c r="H1268" s="466">
        <v>0.519</v>
      </c>
      <c r="I1268" s="467">
        <v>0.519</v>
      </c>
      <c r="J1268" s="468">
        <v>0</v>
      </c>
    </row>
    <row r="1269" spans="1:10" ht="12.75" outlineLevel="2">
      <c r="A1269" s="645">
        <v>2141128178</v>
      </c>
      <c r="B1269" s="635" t="s">
        <v>1076</v>
      </c>
      <c r="C1269" s="635" t="s">
        <v>1424</v>
      </c>
      <c r="D1269" s="635"/>
      <c r="E1269" s="635" t="s">
        <v>1494</v>
      </c>
      <c r="F1269" s="465" t="s">
        <v>1845</v>
      </c>
      <c r="G1269" s="466">
        <v>0</v>
      </c>
      <c r="H1269" s="466">
        <v>2.24</v>
      </c>
      <c r="I1269" s="467">
        <v>2.218</v>
      </c>
      <c r="J1269" s="468">
        <v>0</v>
      </c>
    </row>
    <row r="1270" spans="1:10" ht="12.75" outlineLevel="2">
      <c r="A1270" s="645">
        <v>2141128179</v>
      </c>
      <c r="B1270" s="635" t="s">
        <v>1148</v>
      </c>
      <c r="C1270" s="635" t="s">
        <v>1422</v>
      </c>
      <c r="D1270" s="635"/>
      <c r="E1270" s="635" t="s">
        <v>1494</v>
      </c>
      <c r="F1270" s="465" t="s">
        <v>1845</v>
      </c>
      <c r="G1270" s="466">
        <v>0</v>
      </c>
      <c r="H1270" s="466">
        <v>9.002</v>
      </c>
      <c r="I1270" s="467">
        <v>9.002</v>
      </c>
      <c r="J1270" s="468">
        <v>0</v>
      </c>
    </row>
    <row r="1271" spans="1:10" ht="12.75" outlineLevel="2">
      <c r="A1271" s="645">
        <v>2141128180</v>
      </c>
      <c r="B1271" s="635" t="s">
        <v>1149</v>
      </c>
      <c r="C1271" s="635" t="s">
        <v>791</v>
      </c>
      <c r="D1271" s="635"/>
      <c r="E1271" s="635" t="s">
        <v>1494</v>
      </c>
      <c r="F1271" s="465" t="s">
        <v>96</v>
      </c>
      <c r="G1271" s="466">
        <v>0</v>
      </c>
      <c r="H1271" s="466">
        <v>0.705</v>
      </c>
      <c r="I1271" s="467">
        <v>0.704</v>
      </c>
      <c r="J1271" s="468">
        <v>0.001</v>
      </c>
    </row>
    <row r="1272" spans="1:10" ht="12.75" outlineLevel="2">
      <c r="A1272" s="645">
        <v>2141128181</v>
      </c>
      <c r="B1272" s="635" t="s">
        <v>1150</v>
      </c>
      <c r="C1272" s="635" t="s">
        <v>791</v>
      </c>
      <c r="D1272" s="635"/>
      <c r="E1272" s="635" t="s">
        <v>1494</v>
      </c>
      <c r="F1272" s="465" t="s">
        <v>96</v>
      </c>
      <c r="G1272" s="466">
        <v>0</v>
      </c>
      <c r="H1272" s="466">
        <v>2.42</v>
      </c>
      <c r="I1272" s="467">
        <v>2.419</v>
      </c>
      <c r="J1272" s="468">
        <v>0</v>
      </c>
    </row>
    <row r="1273" spans="1:10" ht="12.75" outlineLevel="2">
      <c r="A1273" s="645">
        <v>2141128182</v>
      </c>
      <c r="B1273" s="635" t="s">
        <v>1151</v>
      </c>
      <c r="C1273" s="635" t="s">
        <v>791</v>
      </c>
      <c r="D1273" s="635"/>
      <c r="E1273" s="635" t="s">
        <v>1494</v>
      </c>
      <c r="F1273" s="465" t="s">
        <v>96</v>
      </c>
      <c r="G1273" s="466">
        <v>0</v>
      </c>
      <c r="H1273" s="466">
        <v>1.998</v>
      </c>
      <c r="I1273" s="467">
        <v>1.998</v>
      </c>
      <c r="J1273" s="468">
        <v>0</v>
      </c>
    </row>
    <row r="1274" spans="1:10" ht="12.75" outlineLevel="2">
      <c r="A1274" s="645">
        <v>2141128183</v>
      </c>
      <c r="B1274" s="635" t="s">
        <v>1152</v>
      </c>
      <c r="C1274" s="635" t="s">
        <v>791</v>
      </c>
      <c r="D1274" s="635"/>
      <c r="E1274" s="635" t="s">
        <v>1494</v>
      </c>
      <c r="F1274" s="465" t="s">
        <v>96</v>
      </c>
      <c r="G1274" s="466">
        <v>0</v>
      </c>
      <c r="H1274" s="466">
        <v>1.334</v>
      </c>
      <c r="I1274" s="467">
        <v>1.333</v>
      </c>
      <c r="J1274" s="468">
        <v>0</v>
      </c>
    </row>
    <row r="1275" spans="1:10" ht="12.75" outlineLevel="2">
      <c r="A1275" s="645">
        <v>2141128184</v>
      </c>
      <c r="B1275" s="635" t="s">
        <v>1153</v>
      </c>
      <c r="C1275" s="635" t="s">
        <v>791</v>
      </c>
      <c r="D1275" s="635"/>
      <c r="E1275" s="635" t="s">
        <v>1494</v>
      </c>
      <c r="F1275" s="465" t="s">
        <v>96</v>
      </c>
      <c r="G1275" s="466">
        <v>0</v>
      </c>
      <c r="H1275" s="466">
        <v>1.497</v>
      </c>
      <c r="I1275" s="467">
        <v>1.496</v>
      </c>
      <c r="J1275" s="468">
        <v>0</v>
      </c>
    </row>
    <row r="1276" spans="1:10" ht="12.75" outlineLevel="2">
      <c r="A1276" s="645">
        <v>2141128185</v>
      </c>
      <c r="B1276" s="635" t="s">
        <v>1154</v>
      </c>
      <c r="C1276" s="635" t="s">
        <v>791</v>
      </c>
      <c r="D1276" s="635"/>
      <c r="E1276" s="635" t="s">
        <v>1494</v>
      </c>
      <c r="F1276" s="465" t="s">
        <v>1845</v>
      </c>
      <c r="G1276" s="466">
        <v>0</v>
      </c>
      <c r="H1276" s="466">
        <v>6.1</v>
      </c>
      <c r="I1276" s="467">
        <v>6.1</v>
      </c>
      <c r="J1276" s="468">
        <v>0</v>
      </c>
    </row>
    <row r="1277" spans="1:10" ht="12.75" outlineLevel="2">
      <c r="A1277" s="645">
        <v>2141128186</v>
      </c>
      <c r="B1277" s="635" t="s">
        <v>1155</v>
      </c>
      <c r="C1277" s="635" t="s">
        <v>1427</v>
      </c>
      <c r="D1277" s="635"/>
      <c r="E1277" s="635" t="s">
        <v>1494</v>
      </c>
      <c r="F1277" s="465" t="s">
        <v>96</v>
      </c>
      <c r="G1277" s="466">
        <v>0</v>
      </c>
      <c r="H1277" s="466">
        <v>0.795</v>
      </c>
      <c r="I1277" s="467">
        <v>0.794</v>
      </c>
      <c r="J1277" s="468">
        <v>0</v>
      </c>
    </row>
    <row r="1278" spans="1:10" ht="12.75" outlineLevel="2">
      <c r="A1278" s="645">
        <v>2141128187</v>
      </c>
      <c r="B1278" s="635" t="s">
        <v>1156</v>
      </c>
      <c r="C1278" s="635" t="s">
        <v>1425</v>
      </c>
      <c r="D1278" s="635"/>
      <c r="E1278" s="635" t="s">
        <v>1494</v>
      </c>
      <c r="F1278" s="465" t="s">
        <v>96</v>
      </c>
      <c r="G1278" s="466">
        <v>0</v>
      </c>
      <c r="H1278" s="466">
        <v>0.45</v>
      </c>
      <c r="I1278" s="467">
        <v>0.449</v>
      </c>
      <c r="J1278" s="468">
        <v>0</v>
      </c>
    </row>
    <row r="1279" spans="1:10" ht="12.75" outlineLevel="2">
      <c r="A1279" s="645">
        <v>2141128188</v>
      </c>
      <c r="B1279" s="635" t="s">
        <v>1157</v>
      </c>
      <c r="C1279" s="635" t="s">
        <v>1426</v>
      </c>
      <c r="D1279" s="635"/>
      <c r="E1279" s="635" t="s">
        <v>1494</v>
      </c>
      <c r="F1279" s="465" t="s">
        <v>96</v>
      </c>
      <c r="G1279" s="466">
        <v>0</v>
      </c>
      <c r="H1279" s="466">
        <v>0.5</v>
      </c>
      <c r="I1279" s="467">
        <v>0.494</v>
      </c>
      <c r="J1279" s="468">
        <v>0</v>
      </c>
    </row>
    <row r="1280" spans="1:10" ht="12.75" outlineLevel="2">
      <c r="A1280" s="645">
        <v>2141128190</v>
      </c>
      <c r="B1280" s="635" t="s">
        <v>1158</v>
      </c>
      <c r="C1280" s="635" t="s">
        <v>1426</v>
      </c>
      <c r="D1280" s="635"/>
      <c r="E1280" s="635" t="s">
        <v>1494</v>
      </c>
      <c r="F1280" s="465" t="s">
        <v>1845</v>
      </c>
      <c r="G1280" s="466">
        <v>0</v>
      </c>
      <c r="H1280" s="466">
        <v>2.047</v>
      </c>
      <c r="I1280" s="467">
        <v>2.046</v>
      </c>
      <c r="J1280" s="468">
        <v>0</v>
      </c>
    </row>
    <row r="1281" spans="1:10" ht="12.75" outlineLevel="2">
      <c r="A1281" s="645">
        <v>2141128191</v>
      </c>
      <c r="B1281" s="635" t="s">
        <v>1159</v>
      </c>
      <c r="C1281" s="635" t="s">
        <v>1426</v>
      </c>
      <c r="D1281" s="635"/>
      <c r="E1281" s="635" t="s">
        <v>1494</v>
      </c>
      <c r="F1281" s="465" t="s">
        <v>1845</v>
      </c>
      <c r="G1281" s="466">
        <v>0</v>
      </c>
      <c r="H1281" s="466">
        <v>2.473</v>
      </c>
      <c r="I1281" s="467">
        <v>2.472</v>
      </c>
      <c r="J1281" s="468">
        <v>0</v>
      </c>
    </row>
    <row r="1282" spans="1:10" ht="12.75" outlineLevel="2">
      <c r="A1282" s="645">
        <v>2141128192</v>
      </c>
      <c r="B1282" s="635" t="s">
        <v>1160</v>
      </c>
      <c r="C1282" s="635" t="s">
        <v>1426</v>
      </c>
      <c r="D1282" s="635"/>
      <c r="E1282" s="635" t="s">
        <v>1494</v>
      </c>
      <c r="F1282" s="465" t="s">
        <v>1845</v>
      </c>
      <c r="G1282" s="466">
        <v>0</v>
      </c>
      <c r="H1282" s="466">
        <v>0.005</v>
      </c>
      <c r="I1282" s="467">
        <v>0</v>
      </c>
      <c r="J1282" s="468">
        <v>0</v>
      </c>
    </row>
    <row r="1283" spans="1:10" ht="12.75" outlineLevel="2">
      <c r="A1283" s="645">
        <v>2141128192</v>
      </c>
      <c r="B1283" s="635" t="s">
        <v>1160</v>
      </c>
      <c r="C1283" s="635" t="s">
        <v>1426</v>
      </c>
      <c r="D1283" s="635"/>
      <c r="E1283" s="635" t="s">
        <v>1494</v>
      </c>
      <c r="F1283" s="465" t="s">
        <v>96</v>
      </c>
      <c r="G1283" s="466">
        <v>0</v>
      </c>
      <c r="H1283" s="466">
        <v>0.502</v>
      </c>
      <c r="I1283" s="467">
        <v>0.502</v>
      </c>
      <c r="J1283" s="468">
        <v>0</v>
      </c>
    </row>
    <row r="1284" spans="1:10" ht="12.75" outlineLevel="2">
      <c r="A1284" s="645">
        <v>2141128193</v>
      </c>
      <c r="B1284" s="635" t="s">
        <v>1161</v>
      </c>
      <c r="C1284" s="635" t="s">
        <v>1426</v>
      </c>
      <c r="D1284" s="635"/>
      <c r="E1284" s="635" t="s">
        <v>1494</v>
      </c>
      <c r="F1284" s="465" t="s">
        <v>1845</v>
      </c>
      <c r="G1284" s="466">
        <v>0</v>
      </c>
      <c r="H1284" s="466">
        <v>0.016</v>
      </c>
      <c r="I1284" s="467">
        <v>0.015</v>
      </c>
      <c r="J1284" s="468">
        <v>0</v>
      </c>
    </row>
    <row r="1285" spans="1:10" ht="12.75" outlineLevel="2">
      <c r="A1285" s="645">
        <v>2141128193</v>
      </c>
      <c r="B1285" s="635" t="s">
        <v>1161</v>
      </c>
      <c r="C1285" s="635" t="s">
        <v>1426</v>
      </c>
      <c r="D1285" s="635"/>
      <c r="E1285" s="635" t="s">
        <v>1494</v>
      </c>
      <c r="F1285" s="465" t="s">
        <v>96</v>
      </c>
      <c r="G1285" s="466">
        <v>0</v>
      </c>
      <c r="H1285" s="466">
        <v>2.066</v>
      </c>
      <c r="I1285" s="467">
        <v>2.065</v>
      </c>
      <c r="J1285" s="468">
        <v>0</v>
      </c>
    </row>
    <row r="1286" spans="1:10" ht="12.75" outlineLevel="2">
      <c r="A1286" s="645">
        <v>2141128194</v>
      </c>
      <c r="B1286" s="635" t="s">
        <v>1162</v>
      </c>
      <c r="C1286" s="635" t="s">
        <v>1426</v>
      </c>
      <c r="D1286" s="635"/>
      <c r="E1286" s="635" t="s">
        <v>1494</v>
      </c>
      <c r="F1286" s="465" t="s">
        <v>1845</v>
      </c>
      <c r="G1286" s="466">
        <v>0</v>
      </c>
      <c r="H1286" s="466">
        <v>0.549</v>
      </c>
      <c r="I1286" s="467">
        <v>0.548</v>
      </c>
      <c r="J1286" s="468">
        <v>0</v>
      </c>
    </row>
    <row r="1287" spans="1:10" ht="12.75" outlineLevel="2">
      <c r="A1287" s="645">
        <v>2141128195</v>
      </c>
      <c r="B1287" s="635" t="s">
        <v>1163</v>
      </c>
      <c r="C1287" s="635" t="s">
        <v>1426</v>
      </c>
      <c r="D1287" s="635"/>
      <c r="E1287" s="635" t="s">
        <v>1494</v>
      </c>
      <c r="F1287" s="465" t="s">
        <v>1845</v>
      </c>
      <c r="G1287" s="466">
        <v>0</v>
      </c>
      <c r="H1287" s="466">
        <v>0.308</v>
      </c>
      <c r="I1287" s="467">
        <v>0.307</v>
      </c>
      <c r="J1287" s="468">
        <v>0</v>
      </c>
    </row>
    <row r="1288" spans="1:10" ht="12.75" outlineLevel="2">
      <c r="A1288" s="645">
        <v>2141128195</v>
      </c>
      <c r="B1288" s="635" t="s">
        <v>1163</v>
      </c>
      <c r="C1288" s="635" t="s">
        <v>1426</v>
      </c>
      <c r="D1288" s="635"/>
      <c r="E1288" s="635" t="s">
        <v>1494</v>
      </c>
      <c r="F1288" s="465" t="s">
        <v>96</v>
      </c>
      <c r="G1288" s="466">
        <v>0</v>
      </c>
      <c r="H1288" s="466">
        <v>2.614</v>
      </c>
      <c r="I1288" s="467">
        <v>2.614</v>
      </c>
      <c r="J1288" s="468">
        <v>0</v>
      </c>
    </row>
    <row r="1289" spans="1:10" ht="12.75" outlineLevel="2">
      <c r="A1289" s="645">
        <v>2141128196</v>
      </c>
      <c r="B1289" s="635" t="s">
        <v>1164</v>
      </c>
      <c r="C1289" s="635" t="s">
        <v>1426</v>
      </c>
      <c r="D1289" s="635"/>
      <c r="E1289" s="635" t="s">
        <v>1494</v>
      </c>
      <c r="F1289" s="465" t="s">
        <v>1845</v>
      </c>
      <c r="G1289" s="466">
        <v>0</v>
      </c>
      <c r="H1289" s="466">
        <v>0.489</v>
      </c>
      <c r="I1289" s="467">
        <v>0.489</v>
      </c>
      <c r="J1289" s="468">
        <v>0</v>
      </c>
    </row>
    <row r="1290" spans="1:10" ht="12.75" outlineLevel="2">
      <c r="A1290" s="645">
        <v>2141128197</v>
      </c>
      <c r="B1290" s="635" t="s">
        <v>1165</v>
      </c>
      <c r="C1290" s="635" t="s">
        <v>1425</v>
      </c>
      <c r="D1290" s="635"/>
      <c r="E1290" s="635" t="s">
        <v>1494</v>
      </c>
      <c r="F1290" s="465" t="s">
        <v>1845</v>
      </c>
      <c r="G1290" s="466">
        <v>0</v>
      </c>
      <c r="H1290" s="466">
        <v>1.057</v>
      </c>
      <c r="I1290" s="467">
        <v>1.057</v>
      </c>
      <c r="J1290" s="468">
        <v>0</v>
      </c>
    </row>
    <row r="1291" spans="1:10" ht="12.75" outlineLevel="2">
      <c r="A1291" s="645">
        <v>2141128197</v>
      </c>
      <c r="B1291" s="635" t="s">
        <v>1165</v>
      </c>
      <c r="C1291" s="635" t="s">
        <v>1425</v>
      </c>
      <c r="D1291" s="635"/>
      <c r="E1291" s="635" t="s">
        <v>1494</v>
      </c>
      <c r="F1291" s="465" t="s">
        <v>96</v>
      </c>
      <c r="G1291" s="466">
        <v>0</v>
      </c>
      <c r="H1291" s="466">
        <v>16.462</v>
      </c>
      <c r="I1291" s="467">
        <v>16.455</v>
      </c>
      <c r="J1291" s="468">
        <v>0</v>
      </c>
    </row>
    <row r="1292" spans="1:10" ht="12.75" outlineLevel="2">
      <c r="A1292" s="645">
        <v>2141128199</v>
      </c>
      <c r="B1292" s="635" t="s">
        <v>1166</v>
      </c>
      <c r="C1292" s="635" t="s">
        <v>1420</v>
      </c>
      <c r="D1292" s="635"/>
      <c r="E1292" s="635" t="s">
        <v>1494</v>
      </c>
      <c r="F1292" s="465" t="s">
        <v>333</v>
      </c>
      <c r="G1292" s="466">
        <v>0</v>
      </c>
      <c r="H1292" s="466">
        <v>0</v>
      </c>
      <c r="I1292" s="467">
        <v>1.77</v>
      </c>
      <c r="J1292" s="468">
        <v>0</v>
      </c>
    </row>
    <row r="1293" spans="1:10" ht="12.75" outlineLevel="2">
      <c r="A1293" s="645">
        <v>2141128200</v>
      </c>
      <c r="B1293" s="635" t="s">
        <v>1167</v>
      </c>
      <c r="C1293" s="635" t="s">
        <v>1428</v>
      </c>
      <c r="D1293" s="635"/>
      <c r="E1293" s="635" t="s">
        <v>1494</v>
      </c>
      <c r="F1293" s="465" t="s">
        <v>1845</v>
      </c>
      <c r="G1293" s="466">
        <v>0</v>
      </c>
      <c r="H1293" s="466">
        <v>0.55</v>
      </c>
      <c r="I1293" s="467">
        <v>0.55</v>
      </c>
      <c r="J1293" s="468">
        <v>0</v>
      </c>
    </row>
    <row r="1294" spans="1:10" ht="12.75" outlineLevel="2">
      <c r="A1294" s="645">
        <v>2141128200</v>
      </c>
      <c r="B1294" s="635" t="s">
        <v>1167</v>
      </c>
      <c r="C1294" s="635" t="s">
        <v>1428</v>
      </c>
      <c r="D1294" s="635"/>
      <c r="E1294" s="635" t="s">
        <v>1494</v>
      </c>
      <c r="F1294" s="465" t="s">
        <v>96</v>
      </c>
      <c r="G1294" s="466">
        <v>0</v>
      </c>
      <c r="H1294" s="466">
        <v>8.699</v>
      </c>
      <c r="I1294" s="467">
        <v>8.699</v>
      </c>
      <c r="J1294" s="468">
        <v>0</v>
      </c>
    </row>
    <row r="1295" spans="1:10" ht="12.75" outlineLevel="2">
      <c r="A1295" s="645">
        <v>2141128201</v>
      </c>
      <c r="B1295" s="635" t="s">
        <v>1168</v>
      </c>
      <c r="C1295" s="635" t="s">
        <v>1427</v>
      </c>
      <c r="D1295" s="635"/>
      <c r="E1295" s="635" t="s">
        <v>1494</v>
      </c>
      <c r="F1295" s="465" t="s">
        <v>1845</v>
      </c>
      <c r="G1295" s="466">
        <v>0</v>
      </c>
      <c r="H1295" s="466">
        <v>2.426</v>
      </c>
      <c r="I1295" s="467">
        <v>2.225</v>
      </c>
      <c r="J1295" s="468">
        <v>0</v>
      </c>
    </row>
    <row r="1296" spans="1:10" ht="12.75" outlineLevel="2">
      <c r="A1296" s="645">
        <v>2141128202</v>
      </c>
      <c r="B1296" s="635" t="s">
        <v>1169</v>
      </c>
      <c r="C1296" s="635" t="s">
        <v>1422</v>
      </c>
      <c r="D1296" s="635"/>
      <c r="E1296" s="635" t="s">
        <v>1494</v>
      </c>
      <c r="F1296" s="465" t="s">
        <v>96</v>
      </c>
      <c r="G1296" s="466">
        <v>0</v>
      </c>
      <c r="H1296" s="466">
        <v>10</v>
      </c>
      <c r="I1296" s="467">
        <v>10</v>
      </c>
      <c r="J1296" s="468">
        <v>0</v>
      </c>
    </row>
    <row r="1297" spans="1:10" ht="12.75" outlineLevel="2">
      <c r="A1297" s="645">
        <v>2141128202</v>
      </c>
      <c r="B1297" s="635" t="s">
        <v>1169</v>
      </c>
      <c r="C1297" s="635" t="s">
        <v>1422</v>
      </c>
      <c r="D1297" s="635"/>
      <c r="E1297" s="635" t="s">
        <v>1494</v>
      </c>
      <c r="F1297" s="465" t="s">
        <v>333</v>
      </c>
      <c r="G1297" s="466">
        <v>0</v>
      </c>
      <c r="H1297" s="466">
        <v>0</v>
      </c>
      <c r="I1297" s="467">
        <v>10</v>
      </c>
      <c r="J1297" s="468">
        <v>0</v>
      </c>
    </row>
    <row r="1298" spans="1:10" ht="12.75" outlineLevel="2">
      <c r="A1298" s="645">
        <v>2141128203</v>
      </c>
      <c r="B1298" s="635" t="s">
        <v>1170</v>
      </c>
      <c r="C1298" s="635" t="s">
        <v>1425</v>
      </c>
      <c r="D1298" s="635"/>
      <c r="E1298" s="635" t="s">
        <v>1494</v>
      </c>
      <c r="F1298" s="465" t="s">
        <v>96</v>
      </c>
      <c r="G1298" s="466">
        <v>0</v>
      </c>
      <c r="H1298" s="466">
        <v>3.962</v>
      </c>
      <c r="I1298" s="467">
        <v>3.961</v>
      </c>
      <c r="J1298" s="468">
        <v>0</v>
      </c>
    </row>
    <row r="1299" spans="1:10" ht="12.75" outlineLevel="2">
      <c r="A1299" s="645">
        <v>2141128204</v>
      </c>
      <c r="B1299" s="635" t="s">
        <v>1171</v>
      </c>
      <c r="C1299" s="635" t="s">
        <v>791</v>
      </c>
      <c r="D1299" s="635"/>
      <c r="E1299" s="635" t="s">
        <v>1494</v>
      </c>
      <c r="F1299" s="465" t="s">
        <v>96</v>
      </c>
      <c r="G1299" s="466">
        <v>0</v>
      </c>
      <c r="H1299" s="466">
        <v>7.054</v>
      </c>
      <c r="I1299" s="467">
        <v>7.053</v>
      </c>
      <c r="J1299" s="468">
        <v>0</v>
      </c>
    </row>
    <row r="1300" spans="1:10" ht="12.75" outlineLevel="2">
      <c r="A1300" s="645">
        <v>2141128205</v>
      </c>
      <c r="B1300" s="635" t="s">
        <v>339</v>
      </c>
      <c r="C1300" s="635" t="s">
        <v>1423</v>
      </c>
      <c r="D1300" s="635"/>
      <c r="E1300" s="635" t="s">
        <v>1494</v>
      </c>
      <c r="F1300" s="465" t="s">
        <v>1845</v>
      </c>
      <c r="G1300" s="466">
        <v>0</v>
      </c>
      <c r="H1300" s="466">
        <v>6.6</v>
      </c>
      <c r="I1300" s="467">
        <v>6.6</v>
      </c>
      <c r="J1300" s="468">
        <v>0</v>
      </c>
    </row>
    <row r="1301" spans="1:10" ht="12.75" outlineLevel="2">
      <c r="A1301" s="645">
        <v>2141128206</v>
      </c>
      <c r="B1301" s="635" t="s">
        <v>340</v>
      </c>
      <c r="C1301" s="635" t="s">
        <v>1424</v>
      </c>
      <c r="D1301" s="635"/>
      <c r="E1301" s="635" t="s">
        <v>1494</v>
      </c>
      <c r="F1301" s="465" t="s">
        <v>1845</v>
      </c>
      <c r="G1301" s="466">
        <v>0</v>
      </c>
      <c r="H1301" s="466">
        <v>9.02</v>
      </c>
      <c r="I1301" s="467">
        <v>9.009</v>
      </c>
      <c r="J1301" s="468">
        <v>0</v>
      </c>
    </row>
    <row r="1302" spans="1:10" ht="12.75" outlineLevel="2">
      <c r="A1302" s="645">
        <v>2141128207</v>
      </c>
      <c r="B1302" s="635" t="s">
        <v>341</v>
      </c>
      <c r="C1302" s="635" t="s">
        <v>1427</v>
      </c>
      <c r="D1302" s="635"/>
      <c r="E1302" s="635" t="s">
        <v>1494</v>
      </c>
      <c r="F1302" s="465" t="s">
        <v>473</v>
      </c>
      <c r="G1302" s="466">
        <v>0</v>
      </c>
      <c r="H1302" s="466">
        <v>0.081</v>
      </c>
      <c r="I1302" s="467">
        <v>0.07</v>
      </c>
      <c r="J1302" s="468">
        <v>0</v>
      </c>
    </row>
    <row r="1303" spans="1:10" ht="12.75" outlineLevel="2">
      <c r="A1303" s="645">
        <v>2141128207</v>
      </c>
      <c r="B1303" s="635" t="s">
        <v>341</v>
      </c>
      <c r="C1303" s="635" t="s">
        <v>1427</v>
      </c>
      <c r="D1303" s="635"/>
      <c r="E1303" s="635" t="s">
        <v>1494</v>
      </c>
      <c r="F1303" s="465" t="s">
        <v>118</v>
      </c>
      <c r="G1303" s="466">
        <v>0</v>
      </c>
      <c r="H1303" s="466">
        <v>0.468</v>
      </c>
      <c r="I1303" s="467">
        <v>0.095</v>
      </c>
      <c r="J1303" s="468">
        <v>0</v>
      </c>
    </row>
    <row r="1304" spans="1:10" ht="12.75" outlineLevel="2">
      <c r="A1304" s="645">
        <v>2141128208</v>
      </c>
      <c r="B1304" s="635" t="s">
        <v>340</v>
      </c>
      <c r="C1304" s="635" t="s">
        <v>1425</v>
      </c>
      <c r="D1304" s="635"/>
      <c r="E1304" s="635" t="s">
        <v>1494</v>
      </c>
      <c r="F1304" s="465" t="s">
        <v>1845</v>
      </c>
      <c r="G1304" s="466">
        <v>0</v>
      </c>
      <c r="H1304" s="466">
        <v>9.081</v>
      </c>
      <c r="I1304" s="467">
        <v>9.078</v>
      </c>
      <c r="J1304" s="468">
        <v>0</v>
      </c>
    </row>
    <row r="1305" spans="1:10" ht="12.75" outlineLevel="2">
      <c r="A1305" s="645">
        <v>2141128209</v>
      </c>
      <c r="B1305" s="635" t="s">
        <v>342</v>
      </c>
      <c r="C1305" s="635" t="s">
        <v>1425</v>
      </c>
      <c r="D1305" s="635"/>
      <c r="E1305" s="635" t="s">
        <v>1494</v>
      </c>
      <c r="F1305" s="465" t="s">
        <v>1845</v>
      </c>
      <c r="G1305" s="466">
        <v>0</v>
      </c>
      <c r="H1305" s="466">
        <v>0.978</v>
      </c>
      <c r="I1305" s="467">
        <v>0.978</v>
      </c>
      <c r="J1305" s="468">
        <v>0</v>
      </c>
    </row>
    <row r="1306" spans="1:10" ht="12.75" outlineLevel="2">
      <c r="A1306" s="645">
        <v>2141128209</v>
      </c>
      <c r="B1306" s="635" t="s">
        <v>342</v>
      </c>
      <c r="C1306" s="635" t="s">
        <v>1425</v>
      </c>
      <c r="D1306" s="635"/>
      <c r="E1306" s="635" t="s">
        <v>1494</v>
      </c>
      <c r="F1306" s="465" t="s">
        <v>96</v>
      </c>
      <c r="G1306" s="466">
        <v>0</v>
      </c>
      <c r="H1306" s="466">
        <v>0.053</v>
      </c>
      <c r="I1306" s="467">
        <v>0.052</v>
      </c>
      <c r="J1306" s="468">
        <v>0</v>
      </c>
    </row>
    <row r="1307" spans="1:10" ht="12.75" outlineLevel="2">
      <c r="A1307" s="645">
        <v>2141128210</v>
      </c>
      <c r="B1307" s="635" t="s">
        <v>343</v>
      </c>
      <c r="C1307" s="635" t="s">
        <v>1425</v>
      </c>
      <c r="D1307" s="635"/>
      <c r="E1307" s="635" t="s">
        <v>1494</v>
      </c>
      <c r="F1307" s="465" t="s">
        <v>96</v>
      </c>
      <c r="G1307" s="466">
        <v>0</v>
      </c>
      <c r="H1307" s="466">
        <v>0.84</v>
      </c>
      <c r="I1307" s="467">
        <v>0.839</v>
      </c>
      <c r="J1307" s="468">
        <v>0</v>
      </c>
    </row>
    <row r="1308" spans="1:10" ht="12.75" outlineLevel="2">
      <c r="A1308" s="645">
        <v>2141128211</v>
      </c>
      <c r="B1308" s="635" t="s">
        <v>344</v>
      </c>
      <c r="C1308" s="635" t="s">
        <v>1425</v>
      </c>
      <c r="D1308" s="635"/>
      <c r="E1308" s="635" t="s">
        <v>1494</v>
      </c>
      <c r="F1308" s="465" t="s">
        <v>96</v>
      </c>
      <c r="G1308" s="466">
        <v>0</v>
      </c>
      <c r="H1308" s="466">
        <v>0.04</v>
      </c>
      <c r="I1308" s="467">
        <v>0.039</v>
      </c>
      <c r="J1308" s="468">
        <v>0</v>
      </c>
    </row>
    <row r="1309" spans="1:10" ht="12.75" outlineLevel="2">
      <c r="A1309" s="645">
        <v>2141128212</v>
      </c>
      <c r="B1309" s="635" t="s">
        <v>345</v>
      </c>
      <c r="C1309" s="635" t="s">
        <v>1427</v>
      </c>
      <c r="D1309" s="635"/>
      <c r="E1309" s="635" t="s">
        <v>1494</v>
      </c>
      <c r="F1309" s="465" t="s">
        <v>96</v>
      </c>
      <c r="G1309" s="466">
        <v>0</v>
      </c>
      <c r="H1309" s="466">
        <v>0.271</v>
      </c>
      <c r="I1309" s="467">
        <v>0.27</v>
      </c>
      <c r="J1309" s="468">
        <v>0</v>
      </c>
    </row>
    <row r="1310" spans="1:10" ht="12.75" outlineLevel="2">
      <c r="A1310" s="645">
        <v>2141128213</v>
      </c>
      <c r="B1310" s="635" t="s">
        <v>340</v>
      </c>
      <c r="C1310" s="635" t="s">
        <v>1427</v>
      </c>
      <c r="D1310" s="635"/>
      <c r="E1310" s="635" t="s">
        <v>1494</v>
      </c>
      <c r="F1310" s="465" t="s">
        <v>1845</v>
      </c>
      <c r="G1310" s="466">
        <v>0</v>
      </c>
      <c r="H1310" s="466">
        <v>12.408</v>
      </c>
      <c r="I1310" s="467">
        <v>12.407</v>
      </c>
      <c r="J1310" s="468">
        <v>0</v>
      </c>
    </row>
    <row r="1311" spans="1:10" ht="12.75" outlineLevel="2">
      <c r="A1311" s="645">
        <v>2141128214</v>
      </c>
      <c r="B1311" s="635" t="s">
        <v>346</v>
      </c>
      <c r="C1311" s="635" t="s">
        <v>1427</v>
      </c>
      <c r="D1311" s="635"/>
      <c r="E1311" s="635" t="s">
        <v>1494</v>
      </c>
      <c r="F1311" s="465" t="s">
        <v>96</v>
      </c>
      <c r="G1311" s="466">
        <v>0</v>
      </c>
      <c r="H1311" s="466">
        <v>2.951</v>
      </c>
      <c r="I1311" s="467">
        <v>2.949</v>
      </c>
      <c r="J1311" s="468">
        <v>0</v>
      </c>
    </row>
    <row r="1312" spans="1:10" ht="12.75" outlineLevel="2">
      <c r="A1312" s="645">
        <v>2141128215</v>
      </c>
      <c r="B1312" s="635" t="s">
        <v>347</v>
      </c>
      <c r="C1312" s="635" t="s">
        <v>1427</v>
      </c>
      <c r="D1312" s="635"/>
      <c r="E1312" s="635" t="s">
        <v>1494</v>
      </c>
      <c r="F1312" s="465" t="s">
        <v>96</v>
      </c>
      <c r="G1312" s="466">
        <v>0</v>
      </c>
      <c r="H1312" s="466">
        <v>4.051</v>
      </c>
      <c r="I1312" s="467">
        <v>4.05</v>
      </c>
      <c r="J1312" s="468">
        <v>0</v>
      </c>
    </row>
    <row r="1313" spans="1:10" ht="12.75" outlineLevel="2">
      <c r="A1313" s="645">
        <v>2141128216</v>
      </c>
      <c r="B1313" s="635" t="s">
        <v>348</v>
      </c>
      <c r="C1313" s="635" t="s">
        <v>1422</v>
      </c>
      <c r="D1313" s="635"/>
      <c r="E1313" s="635" t="s">
        <v>1494</v>
      </c>
      <c r="F1313" s="465" t="s">
        <v>96</v>
      </c>
      <c r="G1313" s="466">
        <v>0</v>
      </c>
      <c r="H1313" s="466">
        <v>0.868</v>
      </c>
      <c r="I1313" s="467">
        <v>0.867</v>
      </c>
      <c r="J1313" s="468">
        <v>0</v>
      </c>
    </row>
    <row r="1314" spans="1:10" ht="12.75" outlineLevel="2">
      <c r="A1314" s="645">
        <v>2141128217</v>
      </c>
      <c r="B1314" s="635" t="s">
        <v>349</v>
      </c>
      <c r="C1314" s="635" t="s">
        <v>1420</v>
      </c>
      <c r="D1314" s="635"/>
      <c r="E1314" s="635" t="s">
        <v>1494</v>
      </c>
      <c r="F1314" s="465" t="s">
        <v>96</v>
      </c>
      <c r="G1314" s="466">
        <v>0</v>
      </c>
      <c r="H1314" s="466">
        <v>0.369</v>
      </c>
      <c r="I1314" s="467">
        <v>0.368</v>
      </c>
      <c r="J1314" s="468">
        <v>0</v>
      </c>
    </row>
    <row r="1315" spans="1:10" ht="12.75" outlineLevel="2">
      <c r="A1315" s="645">
        <v>2141128218</v>
      </c>
      <c r="B1315" s="635" t="s">
        <v>350</v>
      </c>
      <c r="C1315" s="635" t="s">
        <v>1420</v>
      </c>
      <c r="D1315" s="635"/>
      <c r="E1315" s="635" t="s">
        <v>1494</v>
      </c>
      <c r="F1315" s="465" t="s">
        <v>96</v>
      </c>
      <c r="G1315" s="466">
        <v>0</v>
      </c>
      <c r="H1315" s="466">
        <v>1.632</v>
      </c>
      <c r="I1315" s="467">
        <v>1.631</v>
      </c>
      <c r="J1315" s="468">
        <v>0</v>
      </c>
    </row>
    <row r="1316" spans="1:10" ht="12.75" outlineLevel="2">
      <c r="A1316" s="645">
        <v>2141128219</v>
      </c>
      <c r="B1316" s="635" t="s">
        <v>351</v>
      </c>
      <c r="C1316" s="635" t="s">
        <v>791</v>
      </c>
      <c r="D1316" s="635"/>
      <c r="E1316" s="635" t="s">
        <v>1494</v>
      </c>
      <c r="F1316" s="465" t="s">
        <v>96</v>
      </c>
      <c r="G1316" s="466">
        <v>0</v>
      </c>
      <c r="H1316" s="466">
        <v>0.231</v>
      </c>
      <c r="I1316" s="467">
        <v>0.231</v>
      </c>
      <c r="J1316" s="468">
        <v>0</v>
      </c>
    </row>
    <row r="1317" spans="1:10" ht="12.75" outlineLevel="2">
      <c r="A1317" s="645">
        <v>2141128220</v>
      </c>
      <c r="B1317" s="635" t="s">
        <v>352</v>
      </c>
      <c r="C1317" s="635" t="s">
        <v>1423</v>
      </c>
      <c r="D1317" s="635"/>
      <c r="E1317" s="635" t="s">
        <v>1494</v>
      </c>
      <c r="F1317" s="465" t="s">
        <v>96</v>
      </c>
      <c r="G1317" s="466">
        <v>0</v>
      </c>
      <c r="H1317" s="466">
        <v>0.781</v>
      </c>
      <c r="I1317" s="467">
        <v>0.781</v>
      </c>
      <c r="J1317" s="468">
        <v>0</v>
      </c>
    </row>
    <row r="1318" spans="1:10" ht="12.75" outlineLevel="2">
      <c r="A1318" s="645">
        <v>2141128221</v>
      </c>
      <c r="B1318" s="635" t="s">
        <v>353</v>
      </c>
      <c r="C1318" s="635" t="s">
        <v>1426</v>
      </c>
      <c r="D1318" s="635"/>
      <c r="E1318" s="635" t="s">
        <v>1494</v>
      </c>
      <c r="F1318" s="465" t="s">
        <v>1845</v>
      </c>
      <c r="G1318" s="466">
        <v>0</v>
      </c>
      <c r="H1318" s="466">
        <v>2.872</v>
      </c>
      <c r="I1318" s="467">
        <v>2.871</v>
      </c>
      <c r="J1318" s="468">
        <v>0</v>
      </c>
    </row>
    <row r="1319" spans="1:10" ht="12.75" outlineLevel="2">
      <c r="A1319" s="645">
        <v>2141128222</v>
      </c>
      <c r="B1319" s="635" t="s">
        <v>354</v>
      </c>
      <c r="C1319" s="635" t="s">
        <v>1426</v>
      </c>
      <c r="D1319" s="635"/>
      <c r="E1319" s="635" t="s">
        <v>1494</v>
      </c>
      <c r="F1319" s="465" t="s">
        <v>1845</v>
      </c>
      <c r="G1319" s="466">
        <v>0</v>
      </c>
      <c r="H1319" s="466">
        <v>4.852</v>
      </c>
      <c r="I1319" s="467">
        <v>4.852</v>
      </c>
      <c r="J1319" s="468">
        <v>0</v>
      </c>
    </row>
    <row r="1320" spans="1:10" ht="12.75" outlineLevel="2">
      <c r="A1320" s="645">
        <v>2141128224</v>
      </c>
      <c r="B1320" s="635" t="s">
        <v>355</v>
      </c>
      <c r="C1320" s="635" t="s">
        <v>1422</v>
      </c>
      <c r="D1320" s="635"/>
      <c r="E1320" s="635" t="s">
        <v>1494</v>
      </c>
      <c r="F1320" s="465" t="s">
        <v>473</v>
      </c>
      <c r="G1320" s="466">
        <v>0</v>
      </c>
      <c r="H1320" s="466">
        <v>0.15</v>
      </c>
      <c r="I1320" s="467">
        <v>0</v>
      </c>
      <c r="J1320" s="468">
        <v>0.15</v>
      </c>
    </row>
    <row r="1321" spans="1:10" ht="12.75" outlineLevel="2">
      <c r="A1321" s="645">
        <v>2141128224</v>
      </c>
      <c r="B1321" s="635" t="s">
        <v>355</v>
      </c>
      <c r="C1321" s="635" t="s">
        <v>1422</v>
      </c>
      <c r="D1321" s="635"/>
      <c r="E1321" s="635" t="s">
        <v>1494</v>
      </c>
      <c r="F1321" s="465" t="s">
        <v>118</v>
      </c>
      <c r="G1321" s="466">
        <v>0</v>
      </c>
      <c r="H1321" s="466">
        <v>2.994</v>
      </c>
      <c r="I1321" s="467">
        <v>0.212</v>
      </c>
      <c r="J1321" s="468">
        <v>2.782</v>
      </c>
    </row>
    <row r="1322" spans="1:10" ht="12.75" outlineLevel="2">
      <c r="A1322" s="645">
        <v>2141128225</v>
      </c>
      <c r="B1322" s="635" t="s">
        <v>356</v>
      </c>
      <c r="C1322" s="635" t="s">
        <v>1428</v>
      </c>
      <c r="D1322" s="635"/>
      <c r="E1322" s="635" t="s">
        <v>1494</v>
      </c>
      <c r="F1322" s="465" t="s">
        <v>96</v>
      </c>
      <c r="G1322" s="466">
        <v>0</v>
      </c>
      <c r="H1322" s="466">
        <v>0.052</v>
      </c>
      <c r="I1322" s="467">
        <v>0.051</v>
      </c>
      <c r="J1322" s="468">
        <v>0</v>
      </c>
    </row>
    <row r="1323" spans="1:10" ht="12.75" outlineLevel="2">
      <c r="A1323" s="645">
        <v>2141128226</v>
      </c>
      <c r="B1323" s="635" t="s">
        <v>357</v>
      </c>
      <c r="C1323" s="635" t="s">
        <v>1427</v>
      </c>
      <c r="D1323" s="635"/>
      <c r="E1323" s="635" t="s">
        <v>1494</v>
      </c>
      <c r="F1323" s="465" t="s">
        <v>96</v>
      </c>
      <c r="G1323" s="466">
        <v>0</v>
      </c>
      <c r="H1323" s="466">
        <v>0.018</v>
      </c>
      <c r="I1323" s="467">
        <v>0.018</v>
      </c>
      <c r="J1323" s="468">
        <v>0</v>
      </c>
    </row>
    <row r="1324" spans="1:10" ht="12.75" outlineLevel="2">
      <c r="A1324" s="645">
        <v>2141128227</v>
      </c>
      <c r="B1324" s="635" t="s">
        <v>358</v>
      </c>
      <c r="C1324" s="635" t="s">
        <v>1422</v>
      </c>
      <c r="D1324" s="635"/>
      <c r="E1324" s="635" t="s">
        <v>1494</v>
      </c>
      <c r="F1324" s="465" t="s">
        <v>333</v>
      </c>
      <c r="G1324" s="466">
        <v>0</v>
      </c>
      <c r="H1324" s="466">
        <v>0</v>
      </c>
      <c r="I1324" s="467">
        <v>1.075</v>
      </c>
      <c r="J1324" s="468">
        <v>0</v>
      </c>
    </row>
    <row r="1325" spans="1:10" ht="12.75" outlineLevel="2">
      <c r="A1325" s="645">
        <v>2141128228</v>
      </c>
      <c r="B1325" s="635" t="s">
        <v>359</v>
      </c>
      <c r="C1325" s="635" t="s">
        <v>1428</v>
      </c>
      <c r="D1325" s="635"/>
      <c r="E1325" s="635" t="s">
        <v>1494</v>
      </c>
      <c r="F1325" s="465" t="s">
        <v>1845</v>
      </c>
      <c r="G1325" s="466">
        <v>0</v>
      </c>
      <c r="H1325" s="466">
        <v>0.73</v>
      </c>
      <c r="I1325" s="467">
        <v>0.728</v>
      </c>
      <c r="J1325" s="468">
        <v>0</v>
      </c>
    </row>
    <row r="1326" spans="1:10" ht="12.75" outlineLevel="2">
      <c r="A1326" s="645">
        <v>2141128228</v>
      </c>
      <c r="B1326" s="635" t="s">
        <v>359</v>
      </c>
      <c r="C1326" s="635" t="s">
        <v>1428</v>
      </c>
      <c r="D1326" s="635"/>
      <c r="E1326" s="635" t="s">
        <v>1494</v>
      </c>
      <c r="F1326" s="465" t="s">
        <v>96</v>
      </c>
      <c r="G1326" s="466">
        <v>0</v>
      </c>
      <c r="H1326" s="466">
        <v>7.663</v>
      </c>
      <c r="I1326" s="467">
        <v>7.662</v>
      </c>
      <c r="J1326" s="468">
        <v>0</v>
      </c>
    </row>
    <row r="1327" spans="1:10" ht="12.75" outlineLevel="2">
      <c r="A1327" s="645">
        <v>2141128229</v>
      </c>
      <c r="B1327" s="635" t="s">
        <v>360</v>
      </c>
      <c r="C1327" s="635" t="s">
        <v>1422</v>
      </c>
      <c r="D1327" s="635"/>
      <c r="E1327" s="635" t="s">
        <v>1494</v>
      </c>
      <c r="F1327" s="465" t="s">
        <v>96</v>
      </c>
      <c r="G1327" s="466">
        <v>0</v>
      </c>
      <c r="H1327" s="466">
        <v>0.09</v>
      </c>
      <c r="I1327" s="467">
        <v>0.09</v>
      </c>
      <c r="J1327" s="468">
        <v>0</v>
      </c>
    </row>
    <row r="1328" spans="1:10" ht="12.75" outlineLevel="2">
      <c r="A1328" s="645">
        <v>2141128230</v>
      </c>
      <c r="B1328" s="635" t="s">
        <v>361</v>
      </c>
      <c r="C1328" s="635" t="s">
        <v>1422</v>
      </c>
      <c r="D1328" s="635"/>
      <c r="E1328" s="635" t="s">
        <v>1494</v>
      </c>
      <c r="F1328" s="465" t="s">
        <v>96</v>
      </c>
      <c r="G1328" s="466">
        <v>0</v>
      </c>
      <c r="H1328" s="466">
        <v>1.605</v>
      </c>
      <c r="I1328" s="467">
        <v>1.603</v>
      </c>
      <c r="J1328" s="468">
        <v>0</v>
      </c>
    </row>
    <row r="1329" spans="1:10" ht="12.75" outlineLevel="2">
      <c r="A1329" s="645">
        <v>2141128231</v>
      </c>
      <c r="B1329" s="635" t="s">
        <v>362</v>
      </c>
      <c r="C1329" s="635" t="s">
        <v>1422</v>
      </c>
      <c r="D1329" s="635"/>
      <c r="E1329" s="635" t="s">
        <v>1494</v>
      </c>
      <c r="F1329" s="465" t="s">
        <v>1845</v>
      </c>
      <c r="G1329" s="466">
        <v>0</v>
      </c>
      <c r="H1329" s="466">
        <v>0.064</v>
      </c>
      <c r="I1329" s="467">
        <v>0.063</v>
      </c>
      <c r="J1329" s="468">
        <v>0</v>
      </c>
    </row>
    <row r="1330" spans="1:10" ht="12.75" outlineLevel="2">
      <c r="A1330" s="645">
        <v>2141128231</v>
      </c>
      <c r="B1330" s="635" t="s">
        <v>362</v>
      </c>
      <c r="C1330" s="635" t="s">
        <v>1422</v>
      </c>
      <c r="D1330" s="635"/>
      <c r="E1330" s="635" t="s">
        <v>1494</v>
      </c>
      <c r="F1330" s="465" t="s">
        <v>96</v>
      </c>
      <c r="G1330" s="466">
        <v>0</v>
      </c>
      <c r="H1330" s="466">
        <v>6.818</v>
      </c>
      <c r="I1330" s="467">
        <v>6.817</v>
      </c>
      <c r="J1330" s="468">
        <v>0</v>
      </c>
    </row>
    <row r="1331" spans="1:10" ht="12.75" outlineLevel="2">
      <c r="A1331" s="645">
        <v>2141128232</v>
      </c>
      <c r="B1331" s="635" t="s">
        <v>363</v>
      </c>
      <c r="C1331" s="635" t="s">
        <v>1422</v>
      </c>
      <c r="D1331" s="635"/>
      <c r="E1331" s="635" t="s">
        <v>1494</v>
      </c>
      <c r="F1331" s="465" t="s">
        <v>1845</v>
      </c>
      <c r="G1331" s="466">
        <v>0</v>
      </c>
      <c r="H1331" s="466">
        <v>0.092</v>
      </c>
      <c r="I1331" s="467">
        <v>0.092</v>
      </c>
      <c r="J1331" s="468">
        <v>0</v>
      </c>
    </row>
    <row r="1332" spans="1:10" ht="12.75" outlineLevel="2">
      <c r="A1332" s="645">
        <v>2141128232</v>
      </c>
      <c r="B1332" s="635" t="s">
        <v>363</v>
      </c>
      <c r="C1332" s="635" t="s">
        <v>1422</v>
      </c>
      <c r="D1332" s="635"/>
      <c r="E1332" s="635" t="s">
        <v>1494</v>
      </c>
      <c r="F1332" s="465" t="s">
        <v>96</v>
      </c>
      <c r="G1332" s="466">
        <v>0</v>
      </c>
      <c r="H1332" s="466">
        <v>0.597</v>
      </c>
      <c r="I1332" s="467">
        <v>0.595</v>
      </c>
      <c r="J1332" s="468">
        <v>0</v>
      </c>
    </row>
    <row r="1333" spans="1:10" ht="12.75" outlineLevel="2">
      <c r="A1333" s="645">
        <v>2141128234</v>
      </c>
      <c r="B1333" s="635" t="s">
        <v>364</v>
      </c>
      <c r="C1333" s="635" t="s">
        <v>1422</v>
      </c>
      <c r="D1333" s="635"/>
      <c r="E1333" s="635" t="s">
        <v>1494</v>
      </c>
      <c r="F1333" s="465" t="s">
        <v>96</v>
      </c>
      <c r="G1333" s="466">
        <v>0</v>
      </c>
      <c r="H1333" s="466">
        <v>12.405</v>
      </c>
      <c r="I1333" s="467">
        <v>12.405</v>
      </c>
      <c r="J1333" s="468">
        <v>0</v>
      </c>
    </row>
    <row r="1334" spans="1:10" ht="12.75" outlineLevel="2">
      <c r="A1334" s="645">
        <v>2141128235</v>
      </c>
      <c r="B1334" s="635" t="s">
        <v>365</v>
      </c>
      <c r="C1334" s="635" t="s">
        <v>1422</v>
      </c>
      <c r="D1334" s="635"/>
      <c r="E1334" s="635" t="s">
        <v>1494</v>
      </c>
      <c r="F1334" s="465" t="s">
        <v>96</v>
      </c>
      <c r="G1334" s="466">
        <v>0</v>
      </c>
      <c r="H1334" s="466">
        <v>0.935</v>
      </c>
      <c r="I1334" s="467">
        <v>0.935</v>
      </c>
      <c r="J1334" s="468">
        <v>0</v>
      </c>
    </row>
    <row r="1335" spans="1:10" ht="12.75" outlineLevel="2">
      <c r="A1335" s="645">
        <v>2141128236</v>
      </c>
      <c r="B1335" s="635" t="s">
        <v>366</v>
      </c>
      <c r="C1335" s="635" t="s">
        <v>1420</v>
      </c>
      <c r="D1335" s="635"/>
      <c r="E1335" s="635" t="s">
        <v>1494</v>
      </c>
      <c r="F1335" s="465" t="s">
        <v>1845</v>
      </c>
      <c r="G1335" s="466">
        <v>0</v>
      </c>
      <c r="H1335" s="466">
        <v>7.981</v>
      </c>
      <c r="I1335" s="467">
        <v>7.98</v>
      </c>
      <c r="J1335" s="468">
        <v>0</v>
      </c>
    </row>
    <row r="1336" spans="1:10" ht="12.75" outlineLevel="2">
      <c r="A1336" s="645">
        <v>2141128236</v>
      </c>
      <c r="B1336" s="635" t="s">
        <v>366</v>
      </c>
      <c r="C1336" s="635" t="s">
        <v>1420</v>
      </c>
      <c r="D1336" s="635"/>
      <c r="E1336" s="635" t="s">
        <v>1494</v>
      </c>
      <c r="F1336" s="465" t="s">
        <v>96</v>
      </c>
      <c r="G1336" s="466">
        <v>0</v>
      </c>
      <c r="H1336" s="466">
        <v>4</v>
      </c>
      <c r="I1336" s="467">
        <v>4</v>
      </c>
      <c r="J1336" s="468">
        <v>0</v>
      </c>
    </row>
    <row r="1337" spans="1:10" ht="12.75" outlineLevel="2">
      <c r="A1337" s="645">
        <v>2141128237</v>
      </c>
      <c r="B1337" s="635" t="s">
        <v>367</v>
      </c>
      <c r="C1337" s="635" t="s">
        <v>791</v>
      </c>
      <c r="D1337" s="635"/>
      <c r="E1337" s="635" t="s">
        <v>1494</v>
      </c>
      <c r="F1337" s="465" t="s">
        <v>96</v>
      </c>
      <c r="G1337" s="466">
        <v>0</v>
      </c>
      <c r="H1337" s="466">
        <v>7.138</v>
      </c>
      <c r="I1337" s="467">
        <v>7.138</v>
      </c>
      <c r="J1337" s="468">
        <v>0</v>
      </c>
    </row>
    <row r="1338" spans="1:10" ht="12.75" outlineLevel="2">
      <c r="A1338" s="645">
        <v>2141128238</v>
      </c>
      <c r="B1338" s="635" t="s">
        <v>368</v>
      </c>
      <c r="C1338" s="635" t="s">
        <v>1420</v>
      </c>
      <c r="D1338" s="635"/>
      <c r="E1338" s="635" t="s">
        <v>1494</v>
      </c>
      <c r="F1338" s="465" t="s">
        <v>96</v>
      </c>
      <c r="G1338" s="466">
        <v>0</v>
      </c>
      <c r="H1338" s="466">
        <v>1.5</v>
      </c>
      <c r="I1338" s="467">
        <v>1.5</v>
      </c>
      <c r="J1338" s="468">
        <v>0</v>
      </c>
    </row>
    <row r="1339" spans="1:10" ht="12.75" outlineLevel="2">
      <c r="A1339" s="645">
        <v>2141128238</v>
      </c>
      <c r="B1339" s="635" t="s">
        <v>368</v>
      </c>
      <c r="C1339" s="635" t="s">
        <v>1420</v>
      </c>
      <c r="D1339" s="635"/>
      <c r="E1339" s="635" t="s">
        <v>1494</v>
      </c>
      <c r="F1339" s="465" t="s">
        <v>333</v>
      </c>
      <c r="G1339" s="466">
        <v>0</v>
      </c>
      <c r="H1339" s="466">
        <v>0</v>
      </c>
      <c r="I1339" s="467">
        <v>0.15</v>
      </c>
      <c r="J1339" s="468">
        <v>0</v>
      </c>
    </row>
    <row r="1340" spans="1:10" ht="12.75" outlineLevel="2">
      <c r="A1340" s="645">
        <v>2141128239</v>
      </c>
      <c r="B1340" s="635" t="s">
        <v>369</v>
      </c>
      <c r="C1340" s="635" t="s">
        <v>1420</v>
      </c>
      <c r="D1340" s="635"/>
      <c r="E1340" s="635" t="s">
        <v>1494</v>
      </c>
      <c r="F1340" s="465" t="s">
        <v>96</v>
      </c>
      <c r="G1340" s="466">
        <v>0</v>
      </c>
      <c r="H1340" s="466">
        <v>0.47</v>
      </c>
      <c r="I1340" s="467">
        <v>0.47</v>
      </c>
      <c r="J1340" s="468">
        <v>0</v>
      </c>
    </row>
    <row r="1341" spans="1:10" ht="12.75" outlineLevel="2">
      <c r="A1341" s="645">
        <v>2141128240</v>
      </c>
      <c r="B1341" s="635" t="s">
        <v>370</v>
      </c>
      <c r="C1341" s="635" t="s">
        <v>1422</v>
      </c>
      <c r="D1341" s="635"/>
      <c r="E1341" s="635" t="s">
        <v>1494</v>
      </c>
      <c r="F1341" s="465" t="s">
        <v>96</v>
      </c>
      <c r="G1341" s="466">
        <v>0</v>
      </c>
      <c r="H1341" s="466">
        <v>1.534</v>
      </c>
      <c r="I1341" s="467">
        <v>1.533</v>
      </c>
      <c r="J1341" s="468">
        <v>0</v>
      </c>
    </row>
    <row r="1342" spans="1:10" ht="12.75" outlineLevel="2">
      <c r="A1342" s="645">
        <v>2141128241</v>
      </c>
      <c r="B1342" s="635" t="s">
        <v>371</v>
      </c>
      <c r="C1342" s="635" t="s">
        <v>1422</v>
      </c>
      <c r="D1342" s="635"/>
      <c r="E1342" s="635" t="s">
        <v>1494</v>
      </c>
      <c r="F1342" s="465" t="s">
        <v>96</v>
      </c>
      <c r="G1342" s="466">
        <v>0</v>
      </c>
      <c r="H1342" s="466">
        <v>0.09</v>
      </c>
      <c r="I1342" s="467">
        <v>0.09</v>
      </c>
      <c r="J1342" s="468">
        <v>0</v>
      </c>
    </row>
    <row r="1343" spans="1:10" ht="12.75" outlineLevel="2">
      <c r="A1343" s="645">
        <v>2141128242</v>
      </c>
      <c r="B1343" s="635" t="s">
        <v>372</v>
      </c>
      <c r="C1343" s="635" t="s">
        <v>1422</v>
      </c>
      <c r="D1343" s="635"/>
      <c r="E1343" s="635" t="s">
        <v>1494</v>
      </c>
      <c r="F1343" s="465" t="s">
        <v>96</v>
      </c>
      <c r="G1343" s="466">
        <v>0</v>
      </c>
      <c r="H1343" s="466">
        <v>1.77</v>
      </c>
      <c r="I1343" s="467">
        <v>1.769</v>
      </c>
      <c r="J1343" s="468">
        <v>0</v>
      </c>
    </row>
    <row r="1344" spans="1:10" ht="12.75" outlineLevel="2">
      <c r="A1344" s="645">
        <v>2141128243</v>
      </c>
      <c r="B1344" s="635" t="s">
        <v>373</v>
      </c>
      <c r="C1344" s="635" t="s">
        <v>1425</v>
      </c>
      <c r="D1344" s="635"/>
      <c r="E1344" s="635" t="s">
        <v>1494</v>
      </c>
      <c r="F1344" s="465" t="s">
        <v>96</v>
      </c>
      <c r="G1344" s="466">
        <v>0</v>
      </c>
      <c r="H1344" s="466">
        <v>2.892</v>
      </c>
      <c r="I1344" s="467">
        <v>0.97</v>
      </c>
      <c r="J1344" s="468">
        <v>1.922</v>
      </c>
    </row>
    <row r="1345" spans="1:10" ht="12.75" outlineLevel="2">
      <c r="A1345" s="645">
        <v>2141128244</v>
      </c>
      <c r="B1345" s="635" t="s">
        <v>374</v>
      </c>
      <c r="C1345" s="635" t="s">
        <v>1422</v>
      </c>
      <c r="D1345" s="635"/>
      <c r="E1345" s="635" t="s">
        <v>1494</v>
      </c>
      <c r="F1345" s="465" t="s">
        <v>1845</v>
      </c>
      <c r="G1345" s="466">
        <v>0</v>
      </c>
      <c r="H1345" s="466">
        <v>0.197</v>
      </c>
      <c r="I1345" s="467">
        <v>0.196</v>
      </c>
      <c r="J1345" s="468">
        <v>0</v>
      </c>
    </row>
    <row r="1346" spans="1:10" ht="12.75" outlineLevel="2">
      <c r="A1346" s="645">
        <v>2141128244</v>
      </c>
      <c r="B1346" s="635" t="s">
        <v>374</v>
      </c>
      <c r="C1346" s="635" t="s">
        <v>1422</v>
      </c>
      <c r="D1346" s="635"/>
      <c r="E1346" s="635" t="s">
        <v>1494</v>
      </c>
      <c r="F1346" s="465" t="s">
        <v>96</v>
      </c>
      <c r="G1346" s="466">
        <v>0</v>
      </c>
      <c r="H1346" s="466">
        <v>1.591</v>
      </c>
      <c r="I1346" s="467">
        <v>1.59</v>
      </c>
      <c r="J1346" s="468">
        <v>0</v>
      </c>
    </row>
    <row r="1347" spans="1:10" ht="12.75" outlineLevel="2">
      <c r="A1347" s="645">
        <v>2141128245</v>
      </c>
      <c r="B1347" s="635" t="s">
        <v>375</v>
      </c>
      <c r="C1347" s="635" t="s">
        <v>1422</v>
      </c>
      <c r="D1347" s="635"/>
      <c r="E1347" s="635" t="s">
        <v>1494</v>
      </c>
      <c r="F1347" s="465" t="s">
        <v>96</v>
      </c>
      <c r="G1347" s="466">
        <v>0</v>
      </c>
      <c r="H1347" s="466">
        <v>0.088</v>
      </c>
      <c r="I1347" s="467">
        <v>0.088</v>
      </c>
      <c r="J1347" s="468">
        <v>0</v>
      </c>
    </row>
    <row r="1348" spans="1:10" ht="12.75" outlineLevel="2">
      <c r="A1348" s="645">
        <v>2141128246</v>
      </c>
      <c r="B1348" s="635" t="s">
        <v>376</v>
      </c>
      <c r="C1348" s="635" t="s">
        <v>1426</v>
      </c>
      <c r="D1348" s="635"/>
      <c r="E1348" s="635" t="s">
        <v>1494</v>
      </c>
      <c r="F1348" s="465" t="s">
        <v>1845</v>
      </c>
      <c r="G1348" s="466">
        <v>0</v>
      </c>
      <c r="H1348" s="466">
        <v>1.6</v>
      </c>
      <c r="I1348" s="467">
        <v>1.592</v>
      </c>
      <c r="J1348" s="468">
        <v>0</v>
      </c>
    </row>
    <row r="1349" spans="1:10" ht="12.75" outlineLevel="2">
      <c r="A1349" s="645">
        <v>2141128248</v>
      </c>
      <c r="B1349" s="635" t="s">
        <v>377</v>
      </c>
      <c r="C1349" s="635" t="s">
        <v>1426</v>
      </c>
      <c r="D1349" s="635"/>
      <c r="E1349" s="635" t="s">
        <v>1494</v>
      </c>
      <c r="F1349" s="465" t="s">
        <v>96</v>
      </c>
      <c r="G1349" s="466">
        <v>0</v>
      </c>
      <c r="H1349" s="466">
        <v>0.017</v>
      </c>
      <c r="I1349" s="467">
        <v>0.017</v>
      </c>
      <c r="J1349" s="468">
        <v>0</v>
      </c>
    </row>
    <row r="1350" spans="1:10" ht="12.75" outlineLevel="2">
      <c r="A1350" s="645">
        <v>2141128249</v>
      </c>
      <c r="B1350" s="635" t="s">
        <v>378</v>
      </c>
      <c r="C1350" s="635" t="s">
        <v>1422</v>
      </c>
      <c r="D1350" s="635"/>
      <c r="E1350" s="635" t="s">
        <v>1494</v>
      </c>
      <c r="F1350" s="465" t="s">
        <v>96</v>
      </c>
      <c r="G1350" s="466">
        <v>0</v>
      </c>
      <c r="H1350" s="466">
        <v>0.467</v>
      </c>
      <c r="I1350" s="467">
        <v>0.466</v>
      </c>
      <c r="J1350" s="468">
        <v>0</v>
      </c>
    </row>
    <row r="1351" spans="1:10" ht="12.75" outlineLevel="2">
      <c r="A1351" s="645">
        <v>2141128250</v>
      </c>
      <c r="B1351" s="635" t="s">
        <v>379</v>
      </c>
      <c r="C1351" s="635" t="s">
        <v>791</v>
      </c>
      <c r="D1351" s="635"/>
      <c r="E1351" s="635" t="s">
        <v>1494</v>
      </c>
      <c r="F1351" s="465" t="s">
        <v>96</v>
      </c>
      <c r="G1351" s="466">
        <v>0</v>
      </c>
      <c r="H1351" s="466">
        <v>1.995</v>
      </c>
      <c r="I1351" s="467">
        <v>1.995</v>
      </c>
      <c r="J1351" s="468">
        <v>0</v>
      </c>
    </row>
    <row r="1352" spans="1:10" ht="12.75" outlineLevel="2">
      <c r="A1352" s="645">
        <v>2141128251</v>
      </c>
      <c r="B1352" s="635" t="s">
        <v>380</v>
      </c>
      <c r="C1352" s="635" t="s">
        <v>1427</v>
      </c>
      <c r="D1352" s="635"/>
      <c r="E1352" s="635" t="s">
        <v>1494</v>
      </c>
      <c r="F1352" s="465" t="s">
        <v>96</v>
      </c>
      <c r="G1352" s="466">
        <v>0</v>
      </c>
      <c r="H1352" s="466">
        <v>0.001</v>
      </c>
      <c r="I1352" s="467">
        <v>0.001</v>
      </c>
      <c r="J1352" s="468">
        <v>0</v>
      </c>
    </row>
    <row r="1353" spans="1:10" ht="12.75" outlineLevel="2">
      <c r="A1353" s="645">
        <v>2141128253</v>
      </c>
      <c r="B1353" s="635" t="s">
        <v>381</v>
      </c>
      <c r="C1353" s="635" t="s">
        <v>1420</v>
      </c>
      <c r="D1353" s="635"/>
      <c r="E1353" s="635" t="s">
        <v>1494</v>
      </c>
      <c r="F1353" s="465" t="s">
        <v>1845</v>
      </c>
      <c r="G1353" s="466">
        <v>0</v>
      </c>
      <c r="H1353" s="466">
        <v>1.019</v>
      </c>
      <c r="I1353" s="467">
        <v>1.019</v>
      </c>
      <c r="J1353" s="468">
        <v>0</v>
      </c>
    </row>
    <row r="1354" spans="1:10" ht="12.75" outlineLevel="2">
      <c r="A1354" s="645">
        <v>2141128254</v>
      </c>
      <c r="B1354" s="635" t="s">
        <v>382</v>
      </c>
      <c r="C1354" s="635" t="s">
        <v>1426</v>
      </c>
      <c r="D1354" s="635"/>
      <c r="E1354" s="635" t="s">
        <v>1494</v>
      </c>
      <c r="F1354" s="465" t="s">
        <v>96</v>
      </c>
      <c r="G1354" s="466">
        <v>0</v>
      </c>
      <c r="H1354" s="466">
        <v>0.673</v>
      </c>
      <c r="I1354" s="467">
        <v>0.672</v>
      </c>
      <c r="J1354" s="468">
        <v>0.001</v>
      </c>
    </row>
    <row r="1355" spans="1:10" ht="12.75" outlineLevel="2">
      <c r="A1355" s="645">
        <v>2141128255</v>
      </c>
      <c r="B1355" s="635" t="s">
        <v>383</v>
      </c>
      <c r="C1355" s="635" t="s">
        <v>1422</v>
      </c>
      <c r="D1355" s="635"/>
      <c r="E1355" s="635" t="s">
        <v>1494</v>
      </c>
      <c r="F1355" s="465" t="s">
        <v>96</v>
      </c>
      <c r="G1355" s="466">
        <v>0</v>
      </c>
      <c r="H1355" s="466">
        <v>0.162</v>
      </c>
      <c r="I1355" s="467">
        <v>0.162</v>
      </c>
      <c r="J1355" s="468">
        <v>0</v>
      </c>
    </row>
    <row r="1356" spans="1:10" ht="12.75" outlineLevel="2">
      <c r="A1356" s="645">
        <v>2141128256</v>
      </c>
      <c r="B1356" s="635" t="s">
        <v>384</v>
      </c>
      <c r="C1356" s="635" t="s">
        <v>1423</v>
      </c>
      <c r="D1356" s="635"/>
      <c r="E1356" s="635" t="s">
        <v>1494</v>
      </c>
      <c r="F1356" s="465" t="s">
        <v>1845</v>
      </c>
      <c r="G1356" s="466">
        <v>0</v>
      </c>
      <c r="H1356" s="466">
        <v>0.69</v>
      </c>
      <c r="I1356" s="467">
        <v>0.69</v>
      </c>
      <c r="J1356" s="468">
        <v>0</v>
      </c>
    </row>
    <row r="1357" spans="1:10" ht="12.75" outlineLevel="2">
      <c r="A1357" s="645">
        <v>2141128256</v>
      </c>
      <c r="B1357" s="635" t="s">
        <v>384</v>
      </c>
      <c r="C1357" s="635" t="s">
        <v>1423</v>
      </c>
      <c r="D1357" s="635"/>
      <c r="E1357" s="635" t="s">
        <v>1494</v>
      </c>
      <c r="F1357" s="465" t="s">
        <v>96</v>
      </c>
      <c r="G1357" s="466">
        <v>0</v>
      </c>
      <c r="H1357" s="466">
        <v>0.45</v>
      </c>
      <c r="I1357" s="467">
        <v>0.45</v>
      </c>
      <c r="J1357" s="468">
        <v>0</v>
      </c>
    </row>
    <row r="1358" spans="1:10" ht="12.75" outlineLevel="2">
      <c r="A1358" s="645">
        <v>2141128257</v>
      </c>
      <c r="B1358" s="635" t="s">
        <v>1223</v>
      </c>
      <c r="C1358" s="635" t="s">
        <v>1425</v>
      </c>
      <c r="D1358" s="635"/>
      <c r="E1358" s="635" t="s">
        <v>1494</v>
      </c>
      <c r="F1358" s="465" t="s">
        <v>1845</v>
      </c>
      <c r="G1358" s="466">
        <v>0</v>
      </c>
      <c r="H1358" s="466">
        <v>0.506</v>
      </c>
      <c r="I1358" s="467">
        <v>0.505</v>
      </c>
      <c r="J1358" s="468">
        <v>0</v>
      </c>
    </row>
    <row r="1359" spans="1:10" ht="12.75" outlineLevel="2">
      <c r="A1359" s="645">
        <v>2141128258</v>
      </c>
      <c r="B1359" s="635" t="s">
        <v>1224</v>
      </c>
      <c r="C1359" s="635" t="s">
        <v>1425</v>
      </c>
      <c r="D1359" s="635"/>
      <c r="E1359" s="635" t="s">
        <v>1494</v>
      </c>
      <c r="F1359" s="465" t="s">
        <v>1845</v>
      </c>
      <c r="G1359" s="466">
        <v>0</v>
      </c>
      <c r="H1359" s="466">
        <v>1.58</v>
      </c>
      <c r="I1359" s="467">
        <v>1.564</v>
      </c>
      <c r="J1359" s="468">
        <v>0</v>
      </c>
    </row>
    <row r="1360" spans="1:10" ht="12.75" outlineLevel="2">
      <c r="A1360" s="645">
        <v>2141128259</v>
      </c>
      <c r="B1360" s="635" t="s">
        <v>1225</v>
      </c>
      <c r="C1360" s="635" t="s">
        <v>1425</v>
      </c>
      <c r="D1360" s="635"/>
      <c r="E1360" s="635" t="s">
        <v>1494</v>
      </c>
      <c r="F1360" s="465" t="s">
        <v>96</v>
      </c>
      <c r="G1360" s="466">
        <v>0</v>
      </c>
      <c r="H1360" s="466">
        <v>0.031</v>
      </c>
      <c r="I1360" s="467">
        <v>0.031</v>
      </c>
      <c r="J1360" s="468">
        <v>0</v>
      </c>
    </row>
    <row r="1361" spans="1:10" ht="12.75" outlineLevel="2">
      <c r="A1361" s="645">
        <v>2141128261</v>
      </c>
      <c r="B1361" s="635" t="s">
        <v>1226</v>
      </c>
      <c r="C1361" s="635" t="s">
        <v>1420</v>
      </c>
      <c r="D1361" s="635"/>
      <c r="E1361" s="635" t="s">
        <v>1494</v>
      </c>
      <c r="F1361" s="465" t="s">
        <v>96</v>
      </c>
      <c r="G1361" s="466">
        <v>0</v>
      </c>
      <c r="H1361" s="466">
        <v>0.7</v>
      </c>
      <c r="I1361" s="467">
        <v>0.693</v>
      </c>
      <c r="J1361" s="468">
        <v>0</v>
      </c>
    </row>
    <row r="1362" spans="1:10" ht="12.75" outlineLevel="2">
      <c r="A1362" s="645">
        <v>2141128262</v>
      </c>
      <c r="B1362" s="635" t="s">
        <v>1227</v>
      </c>
      <c r="C1362" s="635" t="s">
        <v>1420</v>
      </c>
      <c r="D1362" s="635"/>
      <c r="E1362" s="635" t="s">
        <v>1494</v>
      </c>
      <c r="F1362" s="465" t="s">
        <v>96</v>
      </c>
      <c r="G1362" s="466">
        <v>0</v>
      </c>
      <c r="H1362" s="466">
        <v>0.15</v>
      </c>
      <c r="I1362" s="467">
        <v>0.15</v>
      </c>
      <c r="J1362" s="468">
        <v>0</v>
      </c>
    </row>
    <row r="1363" spans="1:10" ht="12.75" outlineLevel="2">
      <c r="A1363" s="645">
        <v>2141128263</v>
      </c>
      <c r="B1363" s="635" t="s">
        <v>1228</v>
      </c>
      <c r="C1363" s="635" t="s">
        <v>1420</v>
      </c>
      <c r="D1363" s="635"/>
      <c r="E1363" s="635" t="s">
        <v>1494</v>
      </c>
      <c r="F1363" s="465" t="s">
        <v>96</v>
      </c>
      <c r="G1363" s="466">
        <v>0</v>
      </c>
      <c r="H1363" s="466">
        <v>1.1</v>
      </c>
      <c r="I1363" s="467">
        <v>1.1</v>
      </c>
      <c r="J1363" s="468">
        <v>0</v>
      </c>
    </row>
    <row r="1364" spans="1:10" ht="12.75" outlineLevel="2">
      <c r="A1364" s="645">
        <v>2141128264</v>
      </c>
      <c r="B1364" s="635" t="s">
        <v>1229</v>
      </c>
      <c r="C1364" s="635" t="s">
        <v>1420</v>
      </c>
      <c r="D1364" s="635"/>
      <c r="E1364" s="635" t="s">
        <v>1494</v>
      </c>
      <c r="F1364" s="465" t="s">
        <v>1845</v>
      </c>
      <c r="G1364" s="466">
        <v>0</v>
      </c>
      <c r="H1364" s="466">
        <v>1.966</v>
      </c>
      <c r="I1364" s="467">
        <v>1.93</v>
      </c>
      <c r="J1364" s="468">
        <v>0</v>
      </c>
    </row>
    <row r="1365" spans="1:10" ht="12.75" outlineLevel="2">
      <c r="A1365" s="645">
        <v>2141128265</v>
      </c>
      <c r="B1365" s="635" t="s">
        <v>1230</v>
      </c>
      <c r="C1365" s="635" t="s">
        <v>1423</v>
      </c>
      <c r="D1365" s="635"/>
      <c r="E1365" s="635" t="s">
        <v>1494</v>
      </c>
      <c r="F1365" s="465" t="s">
        <v>96</v>
      </c>
      <c r="G1365" s="466">
        <v>0</v>
      </c>
      <c r="H1365" s="466">
        <v>0.12</v>
      </c>
      <c r="I1365" s="467">
        <v>0.118</v>
      </c>
      <c r="J1365" s="468">
        <v>0.002</v>
      </c>
    </row>
    <row r="1366" spans="1:10" ht="12.75" outlineLevel="2">
      <c r="A1366" s="645">
        <v>2141128266</v>
      </c>
      <c r="B1366" s="635" t="s">
        <v>1231</v>
      </c>
      <c r="C1366" s="635" t="s">
        <v>1428</v>
      </c>
      <c r="D1366" s="635"/>
      <c r="E1366" s="635" t="s">
        <v>1494</v>
      </c>
      <c r="F1366" s="465" t="s">
        <v>96</v>
      </c>
      <c r="G1366" s="466">
        <v>0</v>
      </c>
      <c r="H1366" s="466">
        <v>2</v>
      </c>
      <c r="I1366" s="467">
        <v>2</v>
      </c>
      <c r="J1366" s="468">
        <v>0</v>
      </c>
    </row>
    <row r="1367" spans="1:10" ht="12.75" outlineLevel="2">
      <c r="A1367" s="645">
        <v>2141128267</v>
      </c>
      <c r="B1367" s="635" t="s">
        <v>1232</v>
      </c>
      <c r="C1367" s="635" t="s">
        <v>1422</v>
      </c>
      <c r="D1367" s="635"/>
      <c r="E1367" s="635" t="s">
        <v>1494</v>
      </c>
      <c r="F1367" s="465" t="s">
        <v>96</v>
      </c>
      <c r="G1367" s="466">
        <v>0</v>
      </c>
      <c r="H1367" s="466">
        <v>0.11</v>
      </c>
      <c r="I1367" s="467">
        <v>0.11</v>
      </c>
      <c r="J1367" s="468">
        <v>0</v>
      </c>
    </row>
    <row r="1368" spans="1:10" ht="12.75" outlineLevel="2">
      <c r="A1368" s="645">
        <v>2141128268</v>
      </c>
      <c r="B1368" s="635" t="s">
        <v>1233</v>
      </c>
      <c r="C1368" s="635" t="s">
        <v>1422</v>
      </c>
      <c r="D1368" s="635"/>
      <c r="E1368" s="635" t="s">
        <v>1494</v>
      </c>
      <c r="F1368" s="465" t="s">
        <v>1845</v>
      </c>
      <c r="G1368" s="466">
        <v>0</v>
      </c>
      <c r="H1368" s="466">
        <v>0.075</v>
      </c>
      <c r="I1368" s="467">
        <v>0.074</v>
      </c>
      <c r="J1368" s="468">
        <v>0</v>
      </c>
    </row>
    <row r="1369" spans="1:10" ht="12.75" outlineLevel="2">
      <c r="A1369" s="645">
        <v>2141128268</v>
      </c>
      <c r="B1369" s="635" t="s">
        <v>1233</v>
      </c>
      <c r="C1369" s="635" t="s">
        <v>1422</v>
      </c>
      <c r="D1369" s="635"/>
      <c r="E1369" s="635" t="s">
        <v>1494</v>
      </c>
      <c r="F1369" s="465" t="s">
        <v>96</v>
      </c>
      <c r="G1369" s="466">
        <v>0</v>
      </c>
      <c r="H1369" s="466">
        <v>0.097</v>
      </c>
      <c r="I1369" s="467">
        <v>0.094</v>
      </c>
      <c r="J1369" s="468">
        <v>0</v>
      </c>
    </row>
    <row r="1370" spans="1:10" ht="12.75" outlineLevel="2">
      <c r="A1370" s="645">
        <v>2141128269</v>
      </c>
      <c r="B1370" s="635" t="s">
        <v>1234</v>
      </c>
      <c r="C1370" s="635" t="s">
        <v>1422</v>
      </c>
      <c r="D1370" s="635"/>
      <c r="E1370" s="635" t="s">
        <v>1494</v>
      </c>
      <c r="F1370" s="465" t="s">
        <v>1845</v>
      </c>
      <c r="G1370" s="466">
        <v>0</v>
      </c>
      <c r="H1370" s="466">
        <v>0.046</v>
      </c>
      <c r="I1370" s="467">
        <v>0.045</v>
      </c>
      <c r="J1370" s="468">
        <v>0</v>
      </c>
    </row>
    <row r="1371" spans="1:10" ht="12.75" outlineLevel="2">
      <c r="A1371" s="645">
        <v>2141128269</v>
      </c>
      <c r="B1371" s="635" t="s">
        <v>1234</v>
      </c>
      <c r="C1371" s="635" t="s">
        <v>1422</v>
      </c>
      <c r="D1371" s="635"/>
      <c r="E1371" s="635" t="s">
        <v>1494</v>
      </c>
      <c r="F1371" s="465" t="s">
        <v>96</v>
      </c>
      <c r="G1371" s="466">
        <v>0</v>
      </c>
      <c r="H1371" s="466">
        <v>0.057</v>
      </c>
      <c r="I1371" s="467">
        <v>0.057</v>
      </c>
      <c r="J1371" s="468">
        <v>0</v>
      </c>
    </row>
    <row r="1372" spans="1:10" ht="12.75" outlineLevel="2">
      <c r="A1372" s="645">
        <v>2141128270</v>
      </c>
      <c r="B1372" s="635" t="s">
        <v>1224</v>
      </c>
      <c r="C1372" s="635" t="s">
        <v>1426</v>
      </c>
      <c r="D1372" s="635"/>
      <c r="E1372" s="635" t="s">
        <v>1494</v>
      </c>
      <c r="F1372" s="465" t="s">
        <v>1845</v>
      </c>
      <c r="G1372" s="466">
        <v>0</v>
      </c>
      <c r="H1372" s="466">
        <v>4</v>
      </c>
      <c r="I1372" s="467">
        <v>3.996</v>
      </c>
      <c r="J1372" s="468">
        <v>0</v>
      </c>
    </row>
    <row r="1373" spans="1:10" ht="12.75" outlineLevel="2">
      <c r="A1373" s="645">
        <v>2141128271</v>
      </c>
      <c r="B1373" s="635" t="s">
        <v>1235</v>
      </c>
      <c r="C1373" s="635" t="s">
        <v>1422</v>
      </c>
      <c r="D1373" s="635"/>
      <c r="E1373" s="635" t="s">
        <v>1494</v>
      </c>
      <c r="F1373" s="465" t="s">
        <v>96</v>
      </c>
      <c r="G1373" s="466">
        <v>0</v>
      </c>
      <c r="H1373" s="466">
        <v>0.286</v>
      </c>
      <c r="I1373" s="467">
        <v>0.285</v>
      </c>
      <c r="J1373" s="468">
        <v>0</v>
      </c>
    </row>
    <row r="1374" spans="1:10" ht="12.75" outlineLevel="2">
      <c r="A1374" s="645">
        <v>2141129004</v>
      </c>
      <c r="B1374" s="635" t="s">
        <v>1236</v>
      </c>
      <c r="C1374" s="635" t="s">
        <v>1426</v>
      </c>
      <c r="D1374" s="635"/>
      <c r="E1374" s="635" t="s">
        <v>1494</v>
      </c>
      <c r="F1374" s="465" t="s">
        <v>96</v>
      </c>
      <c r="G1374" s="466">
        <v>0</v>
      </c>
      <c r="H1374" s="466">
        <v>0.23</v>
      </c>
      <c r="I1374" s="467">
        <v>0.23</v>
      </c>
      <c r="J1374" s="468">
        <v>0</v>
      </c>
    </row>
    <row r="1375" spans="1:10" ht="12.75" outlineLevel="2">
      <c r="A1375" s="645">
        <v>2141137131</v>
      </c>
      <c r="B1375" s="635" t="s">
        <v>1237</v>
      </c>
      <c r="C1375" s="635" t="s">
        <v>2438</v>
      </c>
      <c r="D1375" s="635"/>
      <c r="E1375" s="635" t="s">
        <v>1494</v>
      </c>
      <c r="F1375" s="465" t="s">
        <v>96</v>
      </c>
      <c r="G1375" s="466">
        <v>6.66</v>
      </c>
      <c r="H1375" s="466">
        <v>0</v>
      </c>
      <c r="I1375" s="467">
        <v>0</v>
      </c>
      <c r="J1375" s="468">
        <v>0</v>
      </c>
    </row>
    <row r="1376" spans="1:10" ht="12.75" outlineLevel="2">
      <c r="A1376" s="645">
        <v>2141137132</v>
      </c>
      <c r="B1376" s="635" t="s">
        <v>1976</v>
      </c>
      <c r="C1376" s="635" t="s">
        <v>2438</v>
      </c>
      <c r="D1376" s="635"/>
      <c r="E1376" s="635" t="s">
        <v>1494</v>
      </c>
      <c r="F1376" s="465" t="s">
        <v>96</v>
      </c>
      <c r="G1376" s="466">
        <v>8.895</v>
      </c>
      <c r="H1376" s="466">
        <v>0</v>
      </c>
      <c r="I1376" s="467">
        <v>0</v>
      </c>
      <c r="J1376" s="468">
        <v>0</v>
      </c>
    </row>
    <row r="1377" spans="1:10" ht="12.75" outlineLevel="2">
      <c r="A1377" s="645">
        <v>2141137133</v>
      </c>
      <c r="B1377" s="635" t="s">
        <v>1977</v>
      </c>
      <c r="C1377" s="635" t="s">
        <v>2438</v>
      </c>
      <c r="D1377" s="635"/>
      <c r="E1377" s="635" t="s">
        <v>1494</v>
      </c>
      <c r="F1377" s="465" t="s">
        <v>96</v>
      </c>
      <c r="G1377" s="466">
        <v>37.63</v>
      </c>
      <c r="H1377" s="466">
        <v>0</v>
      </c>
      <c r="I1377" s="467">
        <v>0</v>
      </c>
      <c r="J1377" s="468">
        <v>0</v>
      </c>
    </row>
    <row r="1378" spans="1:10" ht="12.75" outlineLevel="2">
      <c r="A1378" s="645">
        <v>2141137134</v>
      </c>
      <c r="B1378" s="635" t="s">
        <v>1978</v>
      </c>
      <c r="C1378" s="635" t="s">
        <v>2438</v>
      </c>
      <c r="D1378" s="635"/>
      <c r="E1378" s="635" t="s">
        <v>1494</v>
      </c>
      <c r="F1378" s="465" t="s">
        <v>96</v>
      </c>
      <c r="G1378" s="466">
        <v>16.93</v>
      </c>
      <c r="H1378" s="466">
        <v>0</v>
      </c>
      <c r="I1378" s="467">
        <v>0</v>
      </c>
      <c r="J1378" s="468">
        <v>0</v>
      </c>
    </row>
    <row r="1379" spans="1:10" ht="12.75" outlineLevel="2">
      <c r="A1379" s="645">
        <v>2141137142</v>
      </c>
      <c r="B1379" s="635" t="s">
        <v>1979</v>
      </c>
      <c r="C1379" s="635" t="s">
        <v>2438</v>
      </c>
      <c r="D1379" s="635"/>
      <c r="E1379" s="635" t="s">
        <v>1494</v>
      </c>
      <c r="F1379" s="465" t="s">
        <v>96</v>
      </c>
      <c r="G1379" s="466">
        <v>1.2</v>
      </c>
      <c r="H1379" s="466">
        <v>0</v>
      </c>
      <c r="I1379" s="467">
        <v>0</v>
      </c>
      <c r="J1379" s="468">
        <v>0</v>
      </c>
    </row>
    <row r="1380" spans="1:10" ht="12.75" outlineLevel="2">
      <c r="A1380" s="645">
        <v>2141137153</v>
      </c>
      <c r="B1380" s="635" t="s">
        <v>1980</v>
      </c>
      <c r="C1380" s="635" t="s">
        <v>2438</v>
      </c>
      <c r="D1380" s="635"/>
      <c r="E1380" s="635" t="s">
        <v>1494</v>
      </c>
      <c r="F1380" s="465" t="s">
        <v>96</v>
      </c>
      <c r="G1380" s="466">
        <v>0</v>
      </c>
      <c r="H1380" s="466">
        <v>1.293</v>
      </c>
      <c r="I1380" s="467">
        <v>1.292</v>
      </c>
      <c r="J1380" s="468">
        <v>0</v>
      </c>
    </row>
    <row r="1381" spans="1:10" ht="12.75" outlineLevel="2">
      <c r="A1381" s="645">
        <v>2141137160</v>
      </c>
      <c r="B1381" s="635" t="s">
        <v>1981</v>
      </c>
      <c r="C1381" s="635" t="s">
        <v>2438</v>
      </c>
      <c r="D1381" s="635"/>
      <c r="E1381" s="635" t="s">
        <v>1494</v>
      </c>
      <c r="F1381" s="465" t="s">
        <v>96</v>
      </c>
      <c r="G1381" s="466">
        <v>0.88</v>
      </c>
      <c r="H1381" s="466">
        <v>0</v>
      </c>
      <c r="I1381" s="467">
        <v>0</v>
      </c>
      <c r="J1381" s="468">
        <v>0</v>
      </c>
    </row>
    <row r="1382" spans="1:10" ht="12.75" outlineLevel="2">
      <c r="A1382" s="645">
        <v>2141137161</v>
      </c>
      <c r="B1382" s="635" t="s">
        <v>1982</v>
      </c>
      <c r="C1382" s="635" t="s">
        <v>2438</v>
      </c>
      <c r="D1382" s="635"/>
      <c r="E1382" s="635" t="s">
        <v>1494</v>
      </c>
      <c r="F1382" s="465" t="s">
        <v>96</v>
      </c>
      <c r="G1382" s="466">
        <v>2.87</v>
      </c>
      <c r="H1382" s="466">
        <v>0</v>
      </c>
      <c r="I1382" s="467">
        <v>0</v>
      </c>
      <c r="J1382" s="468">
        <v>0</v>
      </c>
    </row>
    <row r="1383" spans="1:10" ht="12.75" outlineLevel="2">
      <c r="A1383" s="645">
        <v>2141138001</v>
      </c>
      <c r="B1383" s="635" t="s">
        <v>1983</v>
      </c>
      <c r="C1383" s="635" t="s">
        <v>1423</v>
      </c>
      <c r="D1383" s="635"/>
      <c r="E1383" s="635" t="s">
        <v>1494</v>
      </c>
      <c r="F1383" s="465" t="s">
        <v>96</v>
      </c>
      <c r="G1383" s="466">
        <v>0.65</v>
      </c>
      <c r="H1383" s="466">
        <v>0.573</v>
      </c>
      <c r="I1383" s="467">
        <v>0.572</v>
      </c>
      <c r="J1383" s="468">
        <v>0</v>
      </c>
    </row>
    <row r="1384" spans="1:10" ht="12.75" outlineLevel="2">
      <c r="A1384" s="645">
        <v>2141138002</v>
      </c>
      <c r="B1384" s="635" t="s">
        <v>1984</v>
      </c>
      <c r="C1384" s="635" t="s">
        <v>1423</v>
      </c>
      <c r="D1384" s="635"/>
      <c r="E1384" s="635" t="s">
        <v>1494</v>
      </c>
      <c r="F1384" s="465" t="s">
        <v>96</v>
      </c>
      <c r="G1384" s="466">
        <v>0.25</v>
      </c>
      <c r="H1384" s="466">
        <v>0.4</v>
      </c>
      <c r="I1384" s="467">
        <v>0.4</v>
      </c>
      <c r="J1384" s="468">
        <v>0</v>
      </c>
    </row>
    <row r="1385" spans="1:10" ht="12.75" outlineLevel="2">
      <c r="A1385" s="645">
        <v>2141138003</v>
      </c>
      <c r="B1385" s="635" t="s">
        <v>1985</v>
      </c>
      <c r="C1385" s="635" t="s">
        <v>1423</v>
      </c>
      <c r="D1385" s="635"/>
      <c r="E1385" s="635" t="s">
        <v>1533</v>
      </c>
      <c r="F1385" s="465" t="s">
        <v>96</v>
      </c>
      <c r="G1385" s="466">
        <v>0.1</v>
      </c>
      <c r="H1385" s="466">
        <v>0</v>
      </c>
      <c r="I1385" s="467">
        <v>0</v>
      </c>
      <c r="J1385" s="468">
        <v>0</v>
      </c>
    </row>
    <row r="1386" spans="1:10" ht="12.75" outlineLevel="2">
      <c r="A1386" s="645">
        <v>2141138004</v>
      </c>
      <c r="B1386" s="635" t="s">
        <v>1986</v>
      </c>
      <c r="C1386" s="635" t="s">
        <v>1423</v>
      </c>
      <c r="D1386" s="635"/>
      <c r="E1386" s="635" t="s">
        <v>1533</v>
      </c>
      <c r="F1386" s="465" t="s">
        <v>96</v>
      </c>
      <c r="G1386" s="466">
        <v>0.89</v>
      </c>
      <c r="H1386" s="466">
        <v>0</v>
      </c>
      <c r="I1386" s="467">
        <v>0</v>
      </c>
      <c r="J1386" s="468">
        <v>0</v>
      </c>
    </row>
    <row r="1387" spans="1:10" ht="12.75" outlineLevel="2">
      <c r="A1387" s="645">
        <v>2141138005</v>
      </c>
      <c r="B1387" s="635" t="s">
        <v>2226</v>
      </c>
      <c r="C1387" s="635" t="s">
        <v>1423</v>
      </c>
      <c r="D1387" s="635"/>
      <c r="E1387" s="635" t="s">
        <v>1494</v>
      </c>
      <c r="F1387" s="465" t="s">
        <v>1845</v>
      </c>
      <c r="G1387" s="466">
        <v>6</v>
      </c>
      <c r="H1387" s="466">
        <v>6.7</v>
      </c>
      <c r="I1387" s="467">
        <v>6.648</v>
      </c>
      <c r="J1387" s="468">
        <v>0</v>
      </c>
    </row>
    <row r="1388" spans="1:10" ht="12.75" outlineLevel="2">
      <c r="A1388" s="645">
        <v>2141138006</v>
      </c>
      <c r="B1388" s="635" t="s">
        <v>2226</v>
      </c>
      <c r="C1388" s="635" t="s">
        <v>1424</v>
      </c>
      <c r="D1388" s="635"/>
      <c r="E1388" s="635" t="s">
        <v>1494</v>
      </c>
      <c r="F1388" s="465" t="s">
        <v>1845</v>
      </c>
      <c r="G1388" s="466">
        <v>8.048</v>
      </c>
      <c r="H1388" s="466">
        <v>8.048</v>
      </c>
      <c r="I1388" s="467">
        <v>8.048</v>
      </c>
      <c r="J1388" s="468">
        <v>0</v>
      </c>
    </row>
    <row r="1389" spans="1:10" ht="12.75" outlineLevel="2">
      <c r="A1389" s="645">
        <v>2141138007</v>
      </c>
      <c r="B1389" s="635" t="s">
        <v>2226</v>
      </c>
      <c r="C1389" s="635" t="s">
        <v>1425</v>
      </c>
      <c r="D1389" s="635"/>
      <c r="E1389" s="635" t="s">
        <v>1494</v>
      </c>
      <c r="F1389" s="465" t="s">
        <v>1845</v>
      </c>
      <c r="G1389" s="466">
        <v>11.767</v>
      </c>
      <c r="H1389" s="466">
        <v>12.282</v>
      </c>
      <c r="I1389" s="467">
        <v>12.239</v>
      </c>
      <c r="J1389" s="468">
        <v>0</v>
      </c>
    </row>
    <row r="1390" spans="1:10" ht="12.75" outlineLevel="2">
      <c r="A1390" s="645">
        <v>2141138008</v>
      </c>
      <c r="B1390" s="635" t="s">
        <v>2226</v>
      </c>
      <c r="C1390" s="635" t="s">
        <v>1426</v>
      </c>
      <c r="D1390" s="635"/>
      <c r="E1390" s="635" t="s">
        <v>1494</v>
      </c>
      <c r="F1390" s="465" t="s">
        <v>1845</v>
      </c>
      <c r="G1390" s="466">
        <v>15.033</v>
      </c>
      <c r="H1390" s="466">
        <v>16.545</v>
      </c>
      <c r="I1390" s="467">
        <v>16.536</v>
      </c>
      <c r="J1390" s="468">
        <v>0</v>
      </c>
    </row>
    <row r="1391" spans="1:10" ht="12.75" outlineLevel="2">
      <c r="A1391" s="645">
        <v>2141138008</v>
      </c>
      <c r="B1391" s="635" t="s">
        <v>2226</v>
      </c>
      <c r="C1391" s="635" t="s">
        <v>1426</v>
      </c>
      <c r="D1391" s="635"/>
      <c r="E1391" s="635" t="s">
        <v>1494</v>
      </c>
      <c r="F1391" s="465" t="s">
        <v>332</v>
      </c>
      <c r="G1391" s="466">
        <v>0</v>
      </c>
      <c r="H1391" s="466">
        <v>0</v>
      </c>
      <c r="I1391" s="467">
        <v>0.385</v>
      </c>
      <c r="J1391" s="468">
        <v>0</v>
      </c>
    </row>
    <row r="1392" spans="1:10" ht="12.75" outlineLevel="2">
      <c r="A1392" s="645">
        <v>2141138009</v>
      </c>
      <c r="B1392" s="635" t="s">
        <v>2226</v>
      </c>
      <c r="C1392" s="635" t="s">
        <v>1427</v>
      </c>
      <c r="D1392" s="635"/>
      <c r="E1392" s="635" t="s">
        <v>1494</v>
      </c>
      <c r="F1392" s="465" t="s">
        <v>1845</v>
      </c>
      <c r="G1392" s="466">
        <v>22.03</v>
      </c>
      <c r="H1392" s="466">
        <v>22.447</v>
      </c>
      <c r="I1392" s="467">
        <v>22.447</v>
      </c>
      <c r="J1392" s="468">
        <v>0</v>
      </c>
    </row>
    <row r="1393" spans="1:10" ht="12.75" outlineLevel="2">
      <c r="A1393" s="645">
        <v>2141138009</v>
      </c>
      <c r="B1393" s="635" t="s">
        <v>2226</v>
      </c>
      <c r="C1393" s="635" t="s">
        <v>1427</v>
      </c>
      <c r="D1393" s="635"/>
      <c r="E1393" s="635" t="s">
        <v>1494</v>
      </c>
      <c r="F1393" s="465" t="s">
        <v>332</v>
      </c>
      <c r="G1393" s="466">
        <v>0</v>
      </c>
      <c r="H1393" s="466">
        <v>0</v>
      </c>
      <c r="I1393" s="467">
        <v>0.916</v>
      </c>
      <c r="J1393" s="468">
        <v>0</v>
      </c>
    </row>
    <row r="1394" spans="1:10" ht="12.75" outlineLevel="2">
      <c r="A1394" s="645">
        <v>2141138010</v>
      </c>
      <c r="B1394" s="635" t="s">
        <v>2226</v>
      </c>
      <c r="C1394" s="635" t="s">
        <v>1428</v>
      </c>
      <c r="D1394" s="635"/>
      <c r="E1394" s="635" t="s">
        <v>1494</v>
      </c>
      <c r="F1394" s="465" t="s">
        <v>1845</v>
      </c>
      <c r="G1394" s="466">
        <v>17.511</v>
      </c>
      <c r="H1394" s="466">
        <v>18.633</v>
      </c>
      <c r="I1394" s="467">
        <v>18.633</v>
      </c>
      <c r="J1394" s="468">
        <v>0</v>
      </c>
    </row>
    <row r="1395" spans="1:10" ht="12.75" outlineLevel="2">
      <c r="A1395" s="645">
        <v>2141138011</v>
      </c>
      <c r="B1395" s="635" t="s">
        <v>2226</v>
      </c>
      <c r="C1395" s="635" t="s">
        <v>1422</v>
      </c>
      <c r="D1395" s="635"/>
      <c r="E1395" s="635" t="s">
        <v>1494</v>
      </c>
      <c r="F1395" s="465" t="s">
        <v>1845</v>
      </c>
      <c r="G1395" s="466">
        <v>28.5</v>
      </c>
      <c r="H1395" s="466">
        <v>22.067</v>
      </c>
      <c r="I1395" s="467">
        <v>21.653</v>
      </c>
      <c r="J1395" s="468">
        <v>0</v>
      </c>
    </row>
    <row r="1396" spans="1:10" ht="12.75" outlineLevel="2">
      <c r="A1396" s="645">
        <v>2141138012</v>
      </c>
      <c r="B1396" s="635" t="s">
        <v>2226</v>
      </c>
      <c r="C1396" s="635" t="s">
        <v>791</v>
      </c>
      <c r="D1396" s="635"/>
      <c r="E1396" s="635" t="s">
        <v>1494</v>
      </c>
      <c r="F1396" s="465" t="s">
        <v>1845</v>
      </c>
      <c r="G1396" s="466">
        <v>34.041</v>
      </c>
      <c r="H1396" s="466">
        <v>31.381</v>
      </c>
      <c r="I1396" s="467">
        <v>31.372</v>
      </c>
      <c r="J1396" s="468">
        <v>0</v>
      </c>
    </row>
    <row r="1397" spans="1:10" ht="12.75" outlineLevel="2">
      <c r="A1397" s="645">
        <v>2141138012</v>
      </c>
      <c r="B1397" s="635" t="s">
        <v>2226</v>
      </c>
      <c r="C1397" s="635" t="s">
        <v>791</v>
      </c>
      <c r="D1397" s="635"/>
      <c r="E1397" s="635" t="s">
        <v>1494</v>
      </c>
      <c r="F1397" s="465" t="s">
        <v>332</v>
      </c>
      <c r="G1397" s="466">
        <v>0</v>
      </c>
      <c r="H1397" s="466">
        <v>0</v>
      </c>
      <c r="I1397" s="467">
        <v>0.683</v>
      </c>
      <c r="J1397" s="468">
        <v>0</v>
      </c>
    </row>
    <row r="1398" spans="1:10" ht="12.75" outlineLevel="2">
      <c r="A1398" s="645">
        <v>2141138013</v>
      </c>
      <c r="B1398" s="635" t="s">
        <v>2226</v>
      </c>
      <c r="C1398" s="635" t="s">
        <v>1420</v>
      </c>
      <c r="D1398" s="635"/>
      <c r="E1398" s="635" t="s">
        <v>1494</v>
      </c>
      <c r="F1398" s="465" t="s">
        <v>1845</v>
      </c>
      <c r="G1398" s="466">
        <v>13.788</v>
      </c>
      <c r="H1398" s="466">
        <v>9.576</v>
      </c>
      <c r="I1398" s="467">
        <v>8.279</v>
      </c>
      <c r="J1398" s="468">
        <v>0</v>
      </c>
    </row>
    <row r="1399" spans="1:10" ht="12.75" outlineLevel="2">
      <c r="A1399" s="645">
        <v>2141138014</v>
      </c>
      <c r="B1399" s="635" t="s">
        <v>1987</v>
      </c>
      <c r="C1399" s="635" t="s">
        <v>2438</v>
      </c>
      <c r="D1399" s="635"/>
      <c r="E1399" s="635" t="s">
        <v>1494</v>
      </c>
      <c r="F1399" s="465" t="s">
        <v>96</v>
      </c>
      <c r="G1399" s="466">
        <v>24</v>
      </c>
      <c r="H1399" s="466">
        <v>18.972</v>
      </c>
      <c r="I1399" s="467">
        <v>18.972</v>
      </c>
      <c r="J1399" s="468">
        <v>0</v>
      </c>
    </row>
    <row r="1400" spans="1:10" ht="12.75" outlineLevel="2">
      <c r="A1400" s="645">
        <v>2141138015</v>
      </c>
      <c r="B1400" s="635" t="s">
        <v>1988</v>
      </c>
      <c r="C1400" s="635" t="s">
        <v>2438</v>
      </c>
      <c r="D1400" s="635"/>
      <c r="E1400" s="635" t="s">
        <v>1533</v>
      </c>
      <c r="F1400" s="465" t="s">
        <v>96</v>
      </c>
      <c r="G1400" s="466">
        <v>15.52</v>
      </c>
      <c r="H1400" s="466">
        <v>0</v>
      </c>
      <c r="I1400" s="467">
        <v>0</v>
      </c>
      <c r="J1400" s="468">
        <v>0</v>
      </c>
    </row>
    <row r="1401" spans="1:10" ht="12.75" outlineLevel="2">
      <c r="A1401" s="645">
        <v>2141138016</v>
      </c>
      <c r="B1401" s="635" t="s">
        <v>1989</v>
      </c>
      <c r="C1401" s="635" t="s">
        <v>2438</v>
      </c>
      <c r="D1401" s="635"/>
      <c r="E1401" s="635" t="s">
        <v>1533</v>
      </c>
      <c r="F1401" s="465" t="s">
        <v>96</v>
      </c>
      <c r="G1401" s="466">
        <v>15</v>
      </c>
      <c r="H1401" s="466">
        <v>0</v>
      </c>
      <c r="I1401" s="467">
        <v>0</v>
      </c>
      <c r="J1401" s="468">
        <v>0</v>
      </c>
    </row>
    <row r="1402" spans="1:10" ht="12.75" outlineLevel="2">
      <c r="A1402" s="645">
        <v>2141138017</v>
      </c>
      <c r="B1402" s="635" t="s">
        <v>1990</v>
      </c>
      <c r="C1402" s="635" t="s">
        <v>2438</v>
      </c>
      <c r="D1402" s="635"/>
      <c r="E1402" s="635" t="s">
        <v>1533</v>
      </c>
      <c r="F1402" s="465" t="s">
        <v>96</v>
      </c>
      <c r="G1402" s="466">
        <v>23.13</v>
      </c>
      <c r="H1402" s="466">
        <v>0</v>
      </c>
      <c r="I1402" s="467">
        <v>0</v>
      </c>
      <c r="J1402" s="468">
        <v>0</v>
      </c>
    </row>
    <row r="1403" spans="1:10" ht="12.75" outlineLevel="2">
      <c r="A1403" s="645">
        <v>2141138018</v>
      </c>
      <c r="B1403" s="635" t="s">
        <v>1991</v>
      </c>
      <c r="C1403" s="635" t="s">
        <v>2438</v>
      </c>
      <c r="D1403" s="635"/>
      <c r="E1403" s="635" t="s">
        <v>1533</v>
      </c>
      <c r="F1403" s="465" t="s">
        <v>96</v>
      </c>
      <c r="G1403" s="466">
        <v>40.8</v>
      </c>
      <c r="H1403" s="466">
        <v>0</v>
      </c>
      <c r="I1403" s="467">
        <v>0</v>
      </c>
      <c r="J1403" s="468">
        <v>0</v>
      </c>
    </row>
    <row r="1404" spans="1:10" ht="12.75" outlineLevel="2">
      <c r="A1404" s="645">
        <v>2141138019</v>
      </c>
      <c r="B1404" s="635" t="s">
        <v>2231</v>
      </c>
      <c r="C1404" s="635" t="s">
        <v>2438</v>
      </c>
      <c r="D1404" s="635"/>
      <c r="E1404" s="635" t="s">
        <v>1533</v>
      </c>
      <c r="F1404" s="465" t="s">
        <v>96</v>
      </c>
      <c r="G1404" s="466">
        <v>5.2</v>
      </c>
      <c r="H1404" s="466">
        <v>0</v>
      </c>
      <c r="I1404" s="467">
        <v>0</v>
      </c>
      <c r="J1404" s="468">
        <v>0</v>
      </c>
    </row>
    <row r="1405" spans="1:10" ht="12.75" outlineLevel="2">
      <c r="A1405" s="645">
        <v>2141138020</v>
      </c>
      <c r="B1405" s="635" t="s">
        <v>1992</v>
      </c>
      <c r="C1405" s="635" t="s">
        <v>2438</v>
      </c>
      <c r="D1405" s="635"/>
      <c r="E1405" s="635" t="s">
        <v>1533</v>
      </c>
      <c r="F1405" s="465" t="s">
        <v>96</v>
      </c>
      <c r="G1405" s="466">
        <v>9.79</v>
      </c>
      <c r="H1405" s="466">
        <v>0</v>
      </c>
      <c r="I1405" s="467">
        <v>0</v>
      </c>
      <c r="J1405" s="468">
        <v>0</v>
      </c>
    </row>
    <row r="1406" spans="1:10" ht="12.75" outlineLevel="2">
      <c r="A1406" s="645">
        <v>2141138021</v>
      </c>
      <c r="B1406" s="635" t="s">
        <v>1993</v>
      </c>
      <c r="C1406" s="635" t="s">
        <v>2438</v>
      </c>
      <c r="D1406" s="635"/>
      <c r="E1406" s="635" t="s">
        <v>1533</v>
      </c>
      <c r="F1406" s="465" t="s">
        <v>96</v>
      </c>
      <c r="G1406" s="466">
        <v>6.56</v>
      </c>
      <c r="H1406" s="466">
        <v>0</v>
      </c>
      <c r="I1406" s="467">
        <v>0</v>
      </c>
      <c r="J1406" s="468">
        <v>0</v>
      </c>
    </row>
    <row r="1407" spans="1:10" ht="12.75" outlineLevel="2">
      <c r="A1407" s="645">
        <v>2141138022</v>
      </c>
      <c r="B1407" s="635" t="s">
        <v>1994</v>
      </c>
      <c r="C1407" s="635" t="s">
        <v>2438</v>
      </c>
      <c r="D1407" s="635"/>
      <c r="E1407" s="635" t="s">
        <v>1533</v>
      </c>
      <c r="F1407" s="465" t="s">
        <v>96</v>
      </c>
      <c r="G1407" s="466">
        <v>1.68</v>
      </c>
      <c r="H1407" s="466">
        <v>0</v>
      </c>
      <c r="I1407" s="467">
        <v>0</v>
      </c>
      <c r="J1407" s="468">
        <v>0</v>
      </c>
    </row>
    <row r="1408" spans="1:10" ht="12.75" outlineLevel="2">
      <c r="A1408" s="645">
        <v>2141138023</v>
      </c>
      <c r="B1408" s="635" t="s">
        <v>1995</v>
      </c>
      <c r="C1408" s="635" t="s">
        <v>2438</v>
      </c>
      <c r="D1408" s="635"/>
      <c r="E1408" s="635" t="s">
        <v>1533</v>
      </c>
      <c r="F1408" s="465" t="s">
        <v>96</v>
      </c>
      <c r="G1408" s="466">
        <v>1.3</v>
      </c>
      <c r="H1408" s="466">
        <v>0</v>
      </c>
      <c r="I1408" s="467">
        <v>0</v>
      </c>
      <c r="J1408" s="468">
        <v>0</v>
      </c>
    </row>
    <row r="1409" spans="1:10" ht="12.75" outlineLevel="2">
      <c r="A1409" s="645">
        <v>2141138024</v>
      </c>
      <c r="B1409" s="635" t="s">
        <v>1996</v>
      </c>
      <c r="C1409" s="635" t="s">
        <v>2438</v>
      </c>
      <c r="D1409" s="635"/>
      <c r="E1409" s="635" t="s">
        <v>1494</v>
      </c>
      <c r="F1409" s="465" t="s">
        <v>96</v>
      </c>
      <c r="G1409" s="466">
        <v>2.32</v>
      </c>
      <c r="H1409" s="466">
        <v>1.291</v>
      </c>
      <c r="I1409" s="467">
        <v>1.29</v>
      </c>
      <c r="J1409" s="468">
        <v>0</v>
      </c>
    </row>
    <row r="1410" spans="1:10" ht="12.75" outlineLevel="2">
      <c r="A1410" s="645">
        <v>2141138025</v>
      </c>
      <c r="B1410" s="635" t="s">
        <v>1997</v>
      </c>
      <c r="C1410" s="635" t="s">
        <v>2438</v>
      </c>
      <c r="D1410" s="635"/>
      <c r="E1410" s="635" t="s">
        <v>1494</v>
      </c>
      <c r="F1410" s="465" t="s">
        <v>96</v>
      </c>
      <c r="G1410" s="466">
        <v>0.99</v>
      </c>
      <c r="H1410" s="466">
        <v>0.866</v>
      </c>
      <c r="I1410" s="467">
        <v>0.865</v>
      </c>
      <c r="J1410" s="468">
        <v>0</v>
      </c>
    </row>
    <row r="1411" spans="1:10" ht="12.75" outlineLevel="2">
      <c r="A1411" s="645">
        <v>2141138026</v>
      </c>
      <c r="B1411" s="635" t="s">
        <v>1998</v>
      </c>
      <c r="C1411" s="635" t="s">
        <v>2438</v>
      </c>
      <c r="D1411" s="635"/>
      <c r="E1411" s="635" t="s">
        <v>1494</v>
      </c>
      <c r="F1411" s="465" t="s">
        <v>96</v>
      </c>
      <c r="G1411" s="466">
        <v>4</v>
      </c>
      <c r="H1411" s="466">
        <v>8.613</v>
      </c>
      <c r="I1411" s="467">
        <v>8.613</v>
      </c>
      <c r="J1411" s="468">
        <v>0</v>
      </c>
    </row>
    <row r="1412" spans="1:10" ht="12.75" outlineLevel="2">
      <c r="A1412" s="645">
        <v>2141138027</v>
      </c>
      <c r="B1412" s="635" t="s">
        <v>1999</v>
      </c>
      <c r="C1412" s="635" t="s">
        <v>2438</v>
      </c>
      <c r="D1412" s="635"/>
      <c r="E1412" s="635" t="s">
        <v>1533</v>
      </c>
      <c r="F1412" s="465" t="s">
        <v>96</v>
      </c>
      <c r="G1412" s="466">
        <v>5.3</v>
      </c>
      <c r="H1412" s="466">
        <v>0</v>
      </c>
      <c r="I1412" s="467">
        <v>0</v>
      </c>
      <c r="J1412" s="468">
        <v>0</v>
      </c>
    </row>
    <row r="1413" spans="1:10" ht="12.75" outlineLevel="2">
      <c r="A1413" s="645">
        <v>2141138028</v>
      </c>
      <c r="B1413" s="635" t="s">
        <v>2000</v>
      </c>
      <c r="C1413" s="635" t="s">
        <v>2438</v>
      </c>
      <c r="D1413" s="635"/>
      <c r="E1413" s="635" t="s">
        <v>1533</v>
      </c>
      <c r="F1413" s="465" t="s">
        <v>96</v>
      </c>
      <c r="G1413" s="466">
        <v>0.6</v>
      </c>
      <c r="H1413" s="466">
        <v>0</v>
      </c>
      <c r="I1413" s="467">
        <v>0</v>
      </c>
      <c r="J1413" s="468">
        <v>0</v>
      </c>
    </row>
    <row r="1414" spans="1:10" ht="12.75" outlineLevel="2">
      <c r="A1414" s="645">
        <v>2141138028</v>
      </c>
      <c r="B1414" s="635" t="s">
        <v>2000</v>
      </c>
      <c r="C1414" s="635" t="s">
        <v>2438</v>
      </c>
      <c r="D1414" s="635"/>
      <c r="E1414" s="635" t="s">
        <v>1533</v>
      </c>
      <c r="F1414" s="465" t="s">
        <v>118</v>
      </c>
      <c r="G1414" s="466">
        <v>3.4</v>
      </c>
      <c r="H1414" s="466">
        <v>0</v>
      </c>
      <c r="I1414" s="467">
        <v>0</v>
      </c>
      <c r="J1414" s="468">
        <v>0</v>
      </c>
    </row>
    <row r="1415" spans="1:10" ht="12.75" outlineLevel="2">
      <c r="A1415" s="645">
        <v>2141138029</v>
      </c>
      <c r="B1415" s="635" t="s">
        <v>2001</v>
      </c>
      <c r="C1415" s="635" t="s">
        <v>2438</v>
      </c>
      <c r="D1415" s="635"/>
      <c r="E1415" s="635" t="s">
        <v>1533</v>
      </c>
      <c r="F1415" s="465" t="s">
        <v>96</v>
      </c>
      <c r="G1415" s="466">
        <v>7.569</v>
      </c>
      <c r="H1415" s="466">
        <v>0</v>
      </c>
      <c r="I1415" s="467">
        <v>0</v>
      </c>
      <c r="J1415" s="468">
        <v>0</v>
      </c>
    </row>
    <row r="1416" spans="1:10" ht="12.75" outlineLevel="2">
      <c r="A1416" s="645">
        <v>2141138029</v>
      </c>
      <c r="B1416" s="635" t="s">
        <v>2001</v>
      </c>
      <c r="C1416" s="635" t="s">
        <v>2438</v>
      </c>
      <c r="D1416" s="635"/>
      <c r="E1416" s="635" t="s">
        <v>1533</v>
      </c>
      <c r="F1416" s="465" t="s">
        <v>118</v>
      </c>
      <c r="G1416" s="466">
        <v>42.891</v>
      </c>
      <c r="H1416" s="466">
        <v>0</v>
      </c>
      <c r="I1416" s="467">
        <v>0</v>
      </c>
      <c r="J1416" s="468">
        <v>0</v>
      </c>
    </row>
    <row r="1417" spans="1:10" ht="12.75" outlineLevel="2">
      <c r="A1417" s="645">
        <v>2141138030</v>
      </c>
      <c r="B1417" s="635" t="s">
        <v>2002</v>
      </c>
      <c r="C1417" s="635" t="s">
        <v>2438</v>
      </c>
      <c r="D1417" s="635"/>
      <c r="E1417" s="635" t="s">
        <v>1533</v>
      </c>
      <c r="F1417" s="465" t="s">
        <v>96</v>
      </c>
      <c r="G1417" s="466">
        <v>20.528</v>
      </c>
      <c r="H1417" s="466">
        <v>0</v>
      </c>
      <c r="I1417" s="467">
        <v>0</v>
      </c>
      <c r="J1417" s="468">
        <v>0</v>
      </c>
    </row>
    <row r="1418" spans="1:10" ht="12.75" outlineLevel="2">
      <c r="A1418" s="645">
        <v>2141138031</v>
      </c>
      <c r="B1418" s="635" t="s">
        <v>2003</v>
      </c>
      <c r="C1418" s="635" t="s">
        <v>2438</v>
      </c>
      <c r="D1418" s="635"/>
      <c r="E1418" s="635" t="s">
        <v>1533</v>
      </c>
      <c r="F1418" s="465" t="s">
        <v>96</v>
      </c>
      <c r="G1418" s="466">
        <v>4.36</v>
      </c>
      <c r="H1418" s="466">
        <v>0</v>
      </c>
      <c r="I1418" s="467">
        <v>0</v>
      </c>
      <c r="J1418" s="468">
        <v>0</v>
      </c>
    </row>
    <row r="1419" spans="1:10" ht="12.75" outlineLevel="2">
      <c r="A1419" s="645">
        <v>2141138032</v>
      </c>
      <c r="B1419" s="635" t="s">
        <v>2004</v>
      </c>
      <c r="C1419" s="635" t="s">
        <v>2438</v>
      </c>
      <c r="D1419" s="635"/>
      <c r="E1419" s="635" t="s">
        <v>1533</v>
      </c>
      <c r="F1419" s="465" t="s">
        <v>96</v>
      </c>
      <c r="G1419" s="466">
        <v>4</v>
      </c>
      <c r="H1419" s="466">
        <v>0</v>
      </c>
      <c r="I1419" s="467">
        <v>0</v>
      </c>
      <c r="J1419" s="468">
        <v>0</v>
      </c>
    </row>
    <row r="1420" spans="1:10" ht="12.75" outlineLevel="2">
      <c r="A1420" s="645">
        <v>2141138033</v>
      </c>
      <c r="B1420" s="635" t="s">
        <v>2005</v>
      </c>
      <c r="C1420" s="635" t="s">
        <v>1427</v>
      </c>
      <c r="D1420" s="635"/>
      <c r="E1420" s="635" t="s">
        <v>1494</v>
      </c>
      <c r="F1420" s="465" t="s">
        <v>332</v>
      </c>
      <c r="G1420" s="466">
        <v>0</v>
      </c>
      <c r="H1420" s="466">
        <v>0</v>
      </c>
      <c r="I1420" s="467">
        <v>0.026</v>
      </c>
      <c r="J1420" s="468">
        <v>0</v>
      </c>
    </row>
    <row r="1421" spans="1:10" ht="12.75" outlineLevel="2">
      <c r="A1421" s="645">
        <v>2141138034</v>
      </c>
      <c r="B1421" s="635" t="s">
        <v>2006</v>
      </c>
      <c r="C1421" s="635" t="s">
        <v>2438</v>
      </c>
      <c r="D1421" s="635"/>
      <c r="E1421" s="635" t="s">
        <v>1494</v>
      </c>
      <c r="F1421" s="465" t="s">
        <v>96</v>
      </c>
      <c r="G1421" s="466">
        <v>0</v>
      </c>
      <c r="H1421" s="466">
        <v>5.107</v>
      </c>
      <c r="I1421" s="467">
        <v>5.107</v>
      </c>
      <c r="J1421" s="468">
        <v>0</v>
      </c>
    </row>
    <row r="1422" spans="1:10" ht="12.75" outlineLevel="2">
      <c r="A1422" s="645">
        <v>2141138035</v>
      </c>
      <c r="B1422" s="635" t="s">
        <v>2007</v>
      </c>
      <c r="C1422" s="635" t="s">
        <v>2438</v>
      </c>
      <c r="D1422" s="635"/>
      <c r="E1422" s="635" t="s">
        <v>1494</v>
      </c>
      <c r="F1422" s="465" t="s">
        <v>96</v>
      </c>
      <c r="G1422" s="466">
        <v>0</v>
      </c>
      <c r="H1422" s="466">
        <v>569.96</v>
      </c>
      <c r="I1422" s="467">
        <v>569.654</v>
      </c>
      <c r="J1422" s="468">
        <v>0.306</v>
      </c>
    </row>
    <row r="1423" spans="1:10" ht="12.75" outlineLevel="2">
      <c r="A1423" s="645">
        <v>2141138036</v>
      </c>
      <c r="B1423" s="635" t="s">
        <v>2008</v>
      </c>
      <c r="C1423" s="635" t="s">
        <v>2438</v>
      </c>
      <c r="D1423" s="635"/>
      <c r="E1423" s="635" t="s">
        <v>1494</v>
      </c>
      <c r="F1423" s="465" t="s">
        <v>1845</v>
      </c>
      <c r="G1423" s="466">
        <v>0</v>
      </c>
      <c r="H1423" s="466">
        <v>1.394</v>
      </c>
      <c r="I1423" s="467">
        <v>0.439</v>
      </c>
      <c r="J1423" s="468">
        <v>0</v>
      </c>
    </row>
    <row r="1424" spans="1:10" ht="12.75" outlineLevel="2">
      <c r="A1424" s="645">
        <v>2141138037</v>
      </c>
      <c r="B1424" s="635" t="s">
        <v>2005</v>
      </c>
      <c r="C1424" s="635" t="s">
        <v>1420</v>
      </c>
      <c r="D1424" s="635"/>
      <c r="E1424" s="635" t="s">
        <v>1494</v>
      </c>
      <c r="F1424" s="465" t="s">
        <v>332</v>
      </c>
      <c r="G1424" s="466">
        <v>0</v>
      </c>
      <c r="H1424" s="466">
        <v>0</v>
      </c>
      <c r="I1424" s="467">
        <v>0.06</v>
      </c>
      <c r="J1424" s="468">
        <v>0</v>
      </c>
    </row>
    <row r="1425" spans="1:10" ht="12.75" outlineLevel="2">
      <c r="A1425" s="645">
        <v>2141138038</v>
      </c>
      <c r="B1425" s="635" t="s">
        <v>2009</v>
      </c>
      <c r="C1425" s="635" t="s">
        <v>791</v>
      </c>
      <c r="D1425" s="635"/>
      <c r="E1425" s="635" t="s">
        <v>1494</v>
      </c>
      <c r="F1425" s="465" t="s">
        <v>96</v>
      </c>
      <c r="G1425" s="466">
        <v>0</v>
      </c>
      <c r="H1425" s="466">
        <v>0.396</v>
      </c>
      <c r="I1425" s="467">
        <v>0.396</v>
      </c>
      <c r="J1425" s="468">
        <v>0</v>
      </c>
    </row>
    <row r="1426" spans="1:10" ht="12.75" outlineLevel="2">
      <c r="A1426" s="645">
        <v>2141138039</v>
      </c>
      <c r="B1426" s="635" t="s">
        <v>2010</v>
      </c>
      <c r="C1426" s="635" t="s">
        <v>2438</v>
      </c>
      <c r="D1426" s="635"/>
      <c r="E1426" s="635" t="s">
        <v>1494</v>
      </c>
      <c r="F1426" s="465" t="s">
        <v>96</v>
      </c>
      <c r="G1426" s="466">
        <v>0</v>
      </c>
      <c r="H1426" s="466">
        <v>0.078</v>
      </c>
      <c r="I1426" s="467">
        <v>0.078</v>
      </c>
      <c r="J1426" s="468">
        <v>0</v>
      </c>
    </row>
    <row r="1427" spans="1:10" ht="12.75" outlineLevel="2">
      <c r="A1427" s="645">
        <v>2141138040</v>
      </c>
      <c r="B1427" s="635" t="s">
        <v>2011</v>
      </c>
      <c r="C1427" s="635" t="s">
        <v>1422</v>
      </c>
      <c r="D1427" s="635"/>
      <c r="E1427" s="635" t="s">
        <v>1494</v>
      </c>
      <c r="F1427" s="465" t="s">
        <v>333</v>
      </c>
      <c r="G1427" s="466">
        <v>0</v>
      </c>
      <c r="H1427" s="466">
        <v>0</v>
      </c>
      <c r="I1427" s="467">
        <v>0.36</v>
      </c>
      <c r="J1427" s="468">
        <v>0</v>
      </c>
    </row>
    <row r="1428" spans="1:10" ht="12.75" outlineLevel="2">
      <c r="A1428" s="645">
        <v>2141138041</v>
      </c>
      <c r="B1428" s="635" t="s">
        <v>2012</v>
      </c>
      <c r="C1428" s="635" t="s">
        <v>1426</v>
      </c>
      <c r="D1428" s="635"/>
      <c r="E1428" s="635" t="s">
        <v>1494</v>
      </c>
      <c r="F1428" s="465" t="s">
        <v>333</v>
      </c>
      <c r="G1428" s="466">
        <v>0</v>
      </c>
      <c r="H1428" s="466">
        <v>0</v>
      </c>
      <c r="I1428" s="467">
        <v>0.267</v>
      </c>
      <c r="J1428" s="468">
        <v>0</v>
      </c>
    </row>
    <row r="1429" spans="1:10" ht="12.75" outlineLevel="2">
      <c r="A1429" s="645">
        <v>2141138042</v>
      </c>
      <c r="B1429" s="635" t="s">
        <v>2013</v>
      </c>
      <c r="C1429" s="635" t="s">
        <v>2438</v>
      </c>
      <c r="D1429" s="635"/>
      <c r="E1429" s="635" t="s">
        <v>1494</v>
      </c>
      <c r="F1429" s="465" t="s">
        <v>96</v>
      </c>
      <c r="G1429" s="466">
        <v>0</v>
      </c>
      <c r="H1429" s="466">
        <v>81.191</v>
      </c>
      <c r="I1429" s="467">
        <v>81.191</v>
      </c>
      <c r="J1429" s="468">
        <v>0</v>
      </c>
    </row>
    <row r="1430" spans="1:10" ht="12.75" outlineLevel="2">
      <c r="A1430" s="645">
        <v>2141138043</v>
      </c>
      <c r="B1430" s="635" t="s">
        <v>2014</v>
      </c>
      <c r="C1430" s="635" t="s">
        <v>2438</v>
      </c>
      <c r="D1430" s="635"/>
      <c r="E1430" s="635" t="s">
        <v>1494</v>
      </c>
      <c r="F1430" s="465" t="s">
        <v>96</v>
      </c>
      <c r="G1430" s="466">
        <v>0</v>
      </c>
      <c r="H1430" s="466">
        <v>49.353</v>
      </c>
      <c r="I1430" s="467">
        <v>49.351</v>
      </c>
      <c r="J1430" s="468">
        <v>0</v>
      </c>
    </row>
    <row r="1431" spans="1:10" ht="12.75" outlineLevel="2">
      <c r="A1431" s="645">
        <v>2141138044</v>
      </c>
      <c r="B1431" s="635" t="s">
        <v>2015</v>
      </c>
      <c r="C1431" s="635" t="s">
        <v>1425</v>
      </c>
      <c r="D1431" s="635"/>
      <c r="E1431" s="635" t="s">
        <v>1494</v>
      </c>
      <c r="F1431" s="465" t="s">
        <v>96</v>
      </c>
      <c r="G1431" s="466">
        <v>0</v>
      </c>
      <c r="H1431" s="466">
        <v>3.6</v>
      </c>
      <c r="I1431" s="467">
        <v>3.6</v>
      </c>
      <c r="J1431" s="468">
        <v>0</v>
      </c>
    </row>
    <row r="1432" spans="1:10" ht="12.75" outlineLevel="2">
      <c r="A1432" s="645">
        <v>2141138045</v>
      </c>
      <c r="B1432" s="635" t="s">
        <v>2016</v>
      </c>
      <c r="C1432" s="635" t="s">
        <v>1420</v>
      </c>
      <c r="D1432" s="635"/>
      <c r="E1432" s="635" t="s">
        <v>1494</v>
      </c>
      <c r="F1432" s="465" t="s">
        <v>96</v>
      </c>
      <c r="G1432" s="466">
        <v>0</v>
      </c>
      <c r="H1432" s="466">
        <v>2.126</v>
      </c>
      <c r="I1432" s="467">
        <v>2.126</v>
      </c>
      <c r="J1432" s="468">
        <v>0</v>
      </c>
    </row>
    <row r="1433" spans="1:10" ht="12.75" outlineLevel="2">
      <c r="A1433" s="645">
        <v>2141138046</v>
      </c>
      <c r="B1433" s="635" t="s">
        <v>2017</v>
      </c>
      <c r="C1433" s="635" t="s">
        <v>2438</v>
      </c>
      <c r="D1433" s="635"/>
      <c r="E1433" s="635" t="s">
        <v>1494</v>
      </c>
      <c r="F1433" s="465" t="s">
        <v>96</v>
      </c>
      <c r="G1433" s="466">
        <v>0</v>
      </c>
      <c r="H1433" s="466">
        <v>2.193</v>
      </c>
      <c r="I1433" s="467">
        <v>2.192</v>
      </c>
      <c r="J1433" s="468">
        <v>0</v>
      </c>
    </row>
    <row r="1434" spans="1:10" ht="12.75" outlineLevel="2">
      <c r="A1434" s="645">
        <v>2141138047</v>
      </c>
      <c r="B1434" s="635" t="s">
        <v>2018</v>
      </c>
      <c r="C1434" s="635" t="s">
        <v>2438</v>
      </c>
      <c r="D1434" s="635"/>
      <c r="E1434" s="635" t="s">
        <v>1494</v>
      </c>
      <c r="F1434" s="465" t="s">
        <v>96</v>
      </c>
      <c r="G1434" s="466">
        <v>0</v>
      </c>
      <c r="H1434" s="466">
        <v>4.018</v>
      </c>
      <c r="I1434" s="467">
        <v>4.017</v>
      </c>
      <c r="J1434" s="468">
        <v>0</v>
      </c>
    </row>
    <row r="1435" spans="1:10" ht="12.75" outlineLevel="2">
      <c r="A1435" s="645">
        <v>2141138048</v>
      </c>
      <c r="B1435" s="635" t="s">
        <v>2019</v>
      </c>
      <c r="C1435" s="635" t="s">
        <v>2438</v>
      </c>
      <c r="D1435" s="635"/>
      <c r="E1435" s="635" t="s">
        <v>1494</v>
      </c>
      <c r="F1435" s="465" t="s">
        <v>96</v>
      </c>
      <c r="G1435" s="466">
        <v>0</v>
      </c>
      <c r="H1435" s="466">
        <v>1.395</v>
      </c>
      <c r="I1435" s="467">
        <v>1.395</v>
      </c>
      <c r="J1435" s="468">
        <v>0</v>
      </c>
    </row>
    <row r="1436" spans="1:10" ht="12.75" outlineLevel="2">
      <c r="A1436" s="645">
        <v>2141138049</v>
      </c>
      <c r="B1436" s="635" t="s">
        <v>2020</v>
      </c>
      <c r="C1436" s="635" t="s">
        <v>2438</v>
      </c>
      <c r="D1436" s="635"/>
      <c r="E1436" s="635" t="s">
        <v>1494</v>
      </c>
      <c r="F1436" s="465" t="s">
        <v>96</v>
      </c>
      <c r="G1436" s="466">
        <v>0</v>
      </c>
      <c r="H1436" s="466">
        <v>20</v>
      </c>
      <c r="I1436" s="467">
        <v>0.001</v>
      </c>
      <c r="J1436" s="468">
        <v>19.999</v>
      </c>
    </row>
    <row r="1437" spans="1:10" ht="12.75" outlineLevel="2">
      <c r="A1437" s="645">
        <v>2141138050</v>
      </c>
      <c r="B1437" s="635" t="s">
        <v>2021</v>
      </c>
      <c r="C1437" s="635" t="s">
        <v>2438</v>
      </c>
      <c r="D1437" s="635"/>
      <c r="E1437" s="635" t="s">
        <v>1494</v>
      </c>
      <c r="F1437" s="465" t="s">
        <v>96</v>
      </c>
      <c r="G1437" s="466">
        <v>0</v>
      </c>
      <c r="H1437" s="466">
        <v>4.275</v>
      </c>
      <c r="I1437" s="467">
        <v>4.275</v>
      </c>
      <c r="J1437" s="468">
        <v>0</v>
      </c>
    </row>
    <row r="1438" spans="1:10" ht="12.75" outlineLevel="2">
      <c r="A1438" s="645">
        <v>2141138051</v>
      </c>
      <c r="B1438" s="635" t="s">
        <v>2022</v>
      </c>
      <c r="C1438" s="635" t="s">
        <v>2438</v>
      </c>
      <c r="D1438" s="635"/>
      <c r="E1438" s="635" t="s">
        <v>1494</v>
      </c>
      <c r="F1438" s="465" t="s">
        <v>96</v>
      </c>
      <c r="G1438" s="466">
        <v>0</v>
      </c>
      <c r="H1438" s="466">
        <v>67.378</v>
      </c>
      <c r="I1438" s="467">
        <v>64.098</v>
      </c>
      <c r="J1438" s="468">
        <v>3.28</v>
      </c>
    </row>
    <row r="1439" spans="1:10" ht="12.75" outlineLevel="2">
      <c r="A1439" s="645">
        <v>2141138052</v>
      </c>
      <c r="B1439" s="635" t="s">
        <v>2023</v>
      </c>
      <c r="C1439" s="635" t="s">
        <v>2438</v>
      </c>
      <c r="D1439" s="635"/>
      <c r="E1439" s="635" t="s">
        <v>1494</v>
      </c>
      <c r="F1439" s="465" t="s">
        <v>96</v>
      </c>
      <c r="G1439" s="466">
        <v>0</v>
      </c>
      <c r="H1439" s="466">
        <v>26.807</v>
      </c>
      <c r="I1439" s="467">
        <v>16.544</v>
      </c>
      <c r="J1439" s="468">
        <v>10.263</v>
      </c>
    </row>
    <row r="1440" spans="1:10" ht="12.75" outlineLevel="2">
      <c r="A1440" s="645">
        <v>2141138053</v>
      </c>
      <c r="B1440" s="635" t="s">
        <v>2024</v>
      </c>
      <c r="C1440" s="635" t="s">
        <v>2438</v>
      </c>
      <c r="D1440" s="635"/>
      <c r="E1440" s="635" t="s">
        <v>1494</v>
      </c>
      <c r="F1440" s="465" t="s">
        <v>96</v>
      </c>
      <c r="G1440" s="466">
        <v>0</v>
      </c>
      <c r="H1440" s="466">
        <v>6.507</v>
      </c>
      <c r="I1440" s="467">
        <v>6.505</v>
      </c>
      <c r="J1440" s="468">
        <v>0</v>
      </c>
    </row>
    <row r="1441" spans="1:10" ht="12.75" outlineLevel="2">
      <c r="A1441" s="645">
        <v>2141138054</v>
      </c>
      <c r="B1441" s="635" t="s">
        <v>2025</v>
      </c>
      <c r="C1441" s="635" t="s">
        <v>2438</v>
      </c>
      <c r="D1441" s="635"/>
      <c r="E1441" s="635" t="s">
        <v>1494</v>
      </c>
      <c r="F1441" s="465" t="s">
        <v>96</v>
      </c>
      <c r="G1441" s="466">
        <v>0</v>
      </c>
      <c r="H1441" s="466">
        <v>31.802</v>
      </c>
      <c r="I1441" s="467">
        <v>31.8</v>
      </c>
      <c r="J1441" s="468">
        <v>0</v>
      </c>
    </row>
    <row r="1442" spans="1:10" ht="12.75" outlineLevel="2">
      <c r="A1442" s="645">
        <v>2141138055</v>
      </c>
      <c r="B1442" s="635" t="s">
        <v>2026</v>
      </c>
      <c r="C1442" s="635" t="s">
        <v>1426</v>
      </c>
      <c r="D1442" s="635"/>
      <c r="E1442" s="635" t="s">
        <v>1494</v>
      </c>
      <c r="F1442" s="465" t="s">
        <v>333</v>
      </c>
      <c r="G1442" s="466">
        <v>0</v>
      </c>
      <c r="H1442" s="466">
        <v>0</v>
      </c>
      <c r="I1442" s="467">
        <v>0.143</v>
      </c>
      <c r="J1442" s="468">
        <v>0</v>
      </c>
    </row>
    <row r="1443" spans="1:10" ht="12.75" outlineLevel="2">
      <c r="A1443" s="645">
        <v>2141138056</v>
      </c>
      <c r="B1443" s="635" t="s">
        <v>2027</v>
      </c>
      <c r="C1443" s="635" t="s">
        <v>2438</v>
      </c>
      <c r="D1443" s="635"/>
      <c r="E1443" s="635" t="s">
        <v>1494</v>
      </c>
      <c r="F1443" s="465" t="s">
        <v>96</v>
      </c>
      <c r="G1443" s="466">
        <v>0</v>
      </c>
      <c r="H1443" s="466">
        <v>40.561</v>
      </c>
      <c r="I1443" s="467">
        <v>40.561</v>
      </c>
      <c r="J1443" s="468">
        <v>0</v>
      </c>
    </row>
    <row r="1444" spans="1:10" ht="12.75" outlineLevel="2">
      <c r="A1444" s="645">
        <v>2141138057</v>
      </c>
      <c r="B1444" s="635" t="s">
        <v>2028</v>
      </c>
      <c r="C1444" s="635" t="s">
        <v>2438</v>
      </c>
      <c r="D1444" s="635"/>
      <c r="E1444" s="635" t="s">
        <v>1494</v>
      </c>
      <c r="F1444" s="465" t="s">
        <v>96</v>
      </c>
      <c r="G1444" s="466">
        <v>0</v>
      </c>
      <c r="H1444" s="466">
        <v>1.158</v>
      </c>
      <c r="I1444" s="467">
        <v>1.157</v>
      </c>
      <c r="J1444" s="468">
        <v>0</v>
      </c>
    </row>
    <row r="1445" spans="1:10" ht="12.75" outlineLevel="2">
      <c r="A1445" s="645">
        <v>2141138058</v>
      </c>
      <c r="B1445" s="635" t="s">
        <v>2029</v>
      </c>
      <c r="C1445" s="635" t="s">
        <v>2438</v>
      </c>
      <c r="D1445" s="635"/>
      <c r="E1445" s="635" t="s">
        <v>1494</v>
      </c>
      <c r="F1445" s="465" t="s">
        <v>96</v>
      </c>
      <c r="G1445" s="466">
        <v>0</v>
      </c>
      <c r="H1445" s="466">
        <v>3.592</v>
      </c>
      <c r="I1445" s="467">
        <v>3.592</v>
      </c>
      <c r="J1445" s="468">
        <v>0</v>
      </c>
    </row>
    <row r="1446" spans="1:10" ht="12.75" outlineLevel="2">
      <c r="A1446" s="645">
        <v>2141138059</v>
      </c>
      <c r="B1446" s="635" t="s">
        <v>2030</v>
      </c>
      <c r="C1446" s="635" t="s">
        <v>2438</v>
      </c>
      <c r="D1446" s="635"/>
      <c r="E1446" s="635" t="s">
        <v>1494</v>
      </c>
      <c r="F1446" s="465" t="s">
        <v>96</v>
      </c>
      <c r="G1446" s="466">
        <v>0</v>
      </c>
      <c r="H1446" s="466">
        <v>5.401</v>
      </c>
      <c r="I1446" s="467">
        <v>0</v>
      </c>
      <c r="J1446" s="468">
        <v>5.401</v>
      </c>
    </row>
    <row r="1447" spans="1:10" ht="12.75" outlineLevel="2">
      <c r="A1447" s="645">
        <v>2141138060</v>
      </c>
      <c r="B1447" s="635" t="s">
        <v>2031</v>
      </c>
      <c r="C1447" s="635" t="s">
        <v>2438</v>
      </c>
      <c r="D1447" s="635"/>
      <c r="E1447" s="635" t="s">
        <v>1494</v>
      </c>
      <c r="F1447" s="465" t="s">
        <v>96</v>
      </c>
      <c r="G1447" s="466">
        <v>0</v>
      </c>
      <c r="H1447" s="466">
        <v>0.001</v>
      </c>
      <c r="I1447" s="467">
        <v>0.001</v>
      </c>
      <c r="J1447" s="468">
        <v>0</v>
      </c>
    </row>
    <row r="1448" spans="1:10" ht="12.75" outlineLevel="2">
      <c r="A1448" s="645">
        <v>2141138063</v>
      </c>
      <c r="B1448" s="635" t="s">
        <v>2032</v>
      </c>
      <c r="C1448" s="635" t="s">
        <v>1420</v>
      </c>
      <c r="D1448" s="635"/>
      <c r="E1448" s="635" t="s">
        <v>1494</v>
      </c>
      <c r="F1448" s="465" t="s">
        <v>96</v>
      </c>
      <c r="G1448" s="466">
        <v>0</v>
      </c>
      <c r="H1448" s="466">
        <v>0.134</v>
      </c>
      <c r="I1448" s="467">
        <v>0.133</v>
      </c>
      <c r="J1448" s="468">
        <v>0</v>
      </c>
    </row>
    <row r="1449" spans="1:10" ht="12.75" outlineLevel="2">
      <c r="A1449" s="645">
        <v>2141138064</v>
      </c>
      <c r="B1449" s="635" t="s">
        <v>2033</v>
      </c>
      <c r="C1449" s="635" t="s">
        <v>1420</v>
      </c>
      <c r="D1449" s="635"/>
      <c r="E1449" s="635" t="s">
        <v>1494</v>
      </c>
      <c r="F1449" s="465" t="s">
        <v>96</v>
      </c>
      <c r="G1449" s="466">
        <v>0</v>
      </c>
      <c r="H1449" s="466">
        <v>0.499</v>
      </c>
      <c r="I1449" s="467">
        <v>0.499</v>
      </c>
      <c r="J1449" s="468">
        <v>0</v>
      </c>
    </row>
    <row r="1450" spans="1:10" ht="12.75" outlineLevel="2">
      <c r="A1450" s="645">
        <v>2141138065</v>
      </c>
      <c r="B1450" s="635" t="s">
        <v>2034</v>
      </c>
      <c r="C1450" s="635" t="s">
        <v>1427</v>
      </c>
      <c r="D1450" s="635"/>
      <c r="E1450" s="635" t="s">
        <v>1494</v>
      </c>
      <c r="F1450" s="465" t="s">
        <v>96</v>
      </c>
      <c r="G1450" s="466">
        <v>0</v>
      </c>
      <c r="H1450" s="466">
        <v>0.051</v>
      </c>
      <c r="I1450" s="467">
        <v>0</v>
      </c>
      <c r="J1450" s="468">
        <v>0.051</v>
      </c>
    </row>
    <row r="1451" spans="1:10" ht="12.75" outlineLevel="2">
      <c r="A1451" s="645">
        <v>2141138066</v>
      </c>
      <c r="B1451" s="635" t="s">
        <v>2035</v>
      </c>
      <c r="C1451" s="635" t="s">
        <v>1420</v>
      </c>
      <c r="D1451" s="635"/>
      <c r="E1451" s="635" t="s">
        <v>1494</v>
      </c>
      <c r="F1451" s="465" t="s">
        <v>96</v>
      </c>
      <c r="G1451" s="466">
        <v>0</v>
      </c>
      <c r="H1451" s="466">
        <v>0.834</v>
      </c>
      <c r="I1451" s="467">
        <v>0.834</v>
      </c>
      <c r="J1451" s="468">
        <v>0</v>
      </c>
    </row>
    <row r="1452" spans="1:10" ht="12.75" outlineLevel="2">
      <c r="A1452" s="645">
        <v>2141138066</v>
      </c>
      <c r="B1452" s="635" t="s">
        <v>2035</v>
      </c>
      <c r="C1452" s="635" t="s">
        <v>1420</v>
      </c>
      <c r="D1452" s="635"/>
      <c r="E1452" s="635" t="s">
        <v>1494</v>
      </c>
      <c r="F1452" s="465" t="s">
        <v>2413</v>
      </c>
      <c r="G1452" s="466">
        <v>0</v>
      </c>
      <c r="H1452" s="466">
        <v>3.4</v>
      </c>
      <c r="I1452" s="467">
        <v>3.399</v>
      </c>
      <c r="J1452" s="468">
        <v>0.001</v>
      </c>
    </row>
    <row r="1453" spans="1:10" ht="12.75" outlineLevel="2">
      <c r="A1453" s="645">
        <v>2141138067</v>
      </c>
      <c r="B1453" s="635" t="s">
        <v>2036</v>
      </c>
      <c r="C1453" s="635" t="s">
        <v>1420</v>
      </c>
      <c r="D1453" s="635"/>
      <c r="E1453" s="635" t="s">
        <v>1494</v>
      </c>
      <c r="F1453" s="465" t="s">
        <v>96</v>
      </c>
      <c r="G1453" s="466">
        <v>0</v>
      </c>
      <c r="H1453" s="466">
        <v>0.145</v>
      </c>
      <c r="I1453" s="467">
        <v>0.145</v>
      </c>
      <c r="J1453" s="468">
        <v>0</v>
      </c>
    </row>
    <row r="1454" spans="1:10" ht="12.75" outlineLevel="2">
      <c r="A1454" s="645">
        <v>2141138068</v>
      </c>
      <c r="B1454" s="635" t="s">
        <v>2037</v>
      </c>
      <c r="C1454" s="635" t="s">
        <v>1420</v>
      </c>
      <c r="D1454" s="635"/>
      <c r="E1454" s="635" t="s">
        <v>1494</v>
      </c>
      <c r="F1454" s="465" t="s">
        <v>96</v>
      </c>
      <c r="G1454" s="466">
        <v>0</v>
      </c>
      <c r="H1454" s="466">
        <v>0.16</v>
      </c>
      <c r="I1454" s="467">
        <v>0.151</v>
      </c>
      <c r="J1454" s="468">
        <v>0</v>
      </c>
    </row>
    <row r="1455" spans="1:10" ht="12.75" outlineLevel="2">
      <c r="A1455" s="645">
        <v>2141138069</v>
      </c>
      <c r="B1455" s="635" t="s">
        <v>2038</v>
      </c>
      <c r="C1455" s="635" t="s">
        <v>1420</v>
      </c>
      <c r="D1455" s="635"/>
      <c r="E1455" s="635" t="s">
        <v>1494</v>
      </c>
      <c r="F1455" s="465" t="s">
        <v>96</v>
      </c>
      <c r="G1455" s="466">
        <v>0</v>
      </c>
      <c r="H1455" s="466">
        <v>1.999</v>
      </c>
      <c r="I1455" s="467">
        <v>1.999</v>
      </c>
      <c r="J1455" s="468">
        <v>0</v>
      </c>
    </row>
    <row r="1456" spans="1:10" ht="12.75" outlineLevel="2">
      <c r="A1456" s="645">
        <v>2141138070</v>
      </c>
      <c r="B1456" s="635" t="s">
        <v>2039</v>
      </c>
      <c r="C1456" s="635" t="s">
        <v>2438</v>
      </c>
      <c r="D1456" s="635"/>
      <c r="E1456" s="635" t="s">
        <v>1494</v>
      </c>
      <c r="F1456" s="465" t="s">
        <v>96</v>
      </c>
      <c r="G1456" s="466">
        <v>0</v>
      </c>
      <c r="H1456" s="466">
        <v>1.435</v>
      </c>
      <c r="I1456" s="467">
        <v>0</v>
      </c>
      <c r="J1456" s="468">
        <v>1.435</v>
      </c>
    </row>
    <row r="1457" spans="1:10" ht="12.75" outlineLevel="2">
      <c r="A1457" s="645">
        <v>2141138071</v>
      </c>
      <c r="B1457" s="635" t="s">
        <v>2040</v>
      </c>
      <c r="C1457" s="635" t="s">
        <v>1426</v>
      </c>
      <c r="D1457" s="635"/>
      <c r="E1457" s="635" t="s">
        <v>1494</v>
      </c>
      <c r="F1457" s="465" t="s">
        <v>96</v>
      </c>
      <c r="G1457" s="466">
        <v>0</v>
      </c>
      <c r="H1457" s="466">
        <v>0.078</v>
      </c>
      <c r="I1457" s="467">
        <v>0.077</v>
      </c>
      <c r="J1457" s="468">
        <v>0</v>
      </c>
    </row>
    <row r="1458" spans="1:10" ht="12.75" outlineLevel="2">
      <c r="A1458" s="645">
        <v>2141138072</v>
      </c>
      <c r="B1458" s="635" t="s">
        <v>2041</v>
      </c>
      <c r="C1458" s="635" t="s">
        <v>2438</v>
      </c>
      <c r="D1458" s="635"/>
      <c r="E1458" s="635" t="s">
        <v>1494</v>
      </c>
      <c r="F1458" s="465" t="s">
        <v>96</v>
      </c>
      <c r="G1458" s="466">
        <v>0</v>
      </c>
      <c r="H1458" s="466">
        <v>1.635</v>
      </c>
      <c r="I1458" s="467">
        <v>1.635</v>
      </c>
      <c r="J1458" s="468">
        <v>0</v>
      </c>
    </row>
    <row r="1459" spans="1:10" ht="12.75" outlineLevel="2">
      <c r="A1459" s="645">
        <v>2141138073</v>
      </c>
      <c r="B1459" s="635" t="s">
        <v>2042</v>
      </c>
      <c r="C1459" s="635" t="s">
        <v>2438</v>
      </c>
      <c r="D1459" s="635"/>
      <c r="E1459" s="635" t="s">
        <v>1494</v>
      </c>
      <c r="F1459" s="465" t="s">
        <v>96</v>
      </c>
      <c r="G1459" s="466">
        <v>0</v>
      </c>
      <c r="H1459" s="466">
        <v>1.304</v>
      </c>
      <c r="I1459" s="467">
        <v>1.303</v>
      </c>
      <c r="J1459" s="468">
        <v>0</v>
      </c>
    </row>
    <row r="1460" spans="1:10" ht="12.75" outlineLevel="2">
      <c r="A1460" s="645">
        <v>2141138074</v>
      </c>
      <c r="B1460" s="635" t="s">
        <v>2043</v>
      </c>
      <c r="C1460" s="635" t="s">
        <v>1427</v>
      </c>
      <c r="D1460" s="635"/>
      <c r="E1460" s="635" t="s">
        <v>1494</v>
      </c>
      <c r="F1460" s="465" t="s">
        <v>473</v>
      </c>
      <c r="G1460" s="466">
        <v>0</v>
      </c>
      <c r="H1460" s="466">
        <v>4.029</v>
      </c>
      <c r="I1460" s="467">
        <v>0</v>
      </c>
      <c r="J1460" s="468">
        <v>4.029</v>
      </c>
    </row>
    <row r="1461" spans="1:10" ht="12.75" outlineLevel="2">
      <c r="A1461" s="645">
        <v>2141138075</v>
      </c>
      <c r="B1461" s="635" t="s">
        <v>2044</v>
      </c>
      <c r="C1461" s="635" t="s">
        <v>1427</v>
      </c>
      <c r="D1461" s="635"/>
      <c r="E1461" s="635" t="s">
        <v>1494</v>
      </c>
      <c r="F1461" s="465" t="s">
        <v>1845</v>
      </c>
      <c r="G1461" s="466">
        <v>0</v>
      </c>
      <c r="H1461" s="466">
        <v>6.27</v>
      </c>
      <c r="I1461" s="467">
        <v>6.27</v>
      </c>
      <c r="J1461" s="468">
        <v>0</v>
      </c>
    </row>
    <row r="1462" spans="1:10" ht="12.75" outlineLevel="2">
      <c r="A1462" s="645">
        <v>2141138076</v>
      </c>
      <c r="B1462" s="635" t="s">
        <v>1285</v>
      </c>
      <c r="C1462" s="635" t="s">
        <v>1423</v>
      </c>
      <c r="D1462" s="635"/>
      <c r="E1462" s="635" t="s">
        <v>1494</v>
      </c>
      <c r="F1462" s="465" t="s">
        <v>1845</v>
      </c>
      <c r="G1462" s="466">
        <v>0</v>
      </c>
      <c r="H1462" s="466">
        <v>2.9</v>
      </c>
      <c r="I1462" s="467">
        <v>2.896</v>
      </c>
      <c r="J1462" s="468">
        <v>0</v>
      </c>
    </row>
    <row r="1463" spans="1:10" ht="12.75" outlineLevel="2">
      <c r="A1463" s="645">
        <v>2141138077</v>
      </c>
      <c r="B1463" s="635" t="s">
        <v>2043</v>
      </c>
      <c r="C1463" s="635" t="s">
        <v>1425</v>
      </c>
      <c r="D1463" s="635"/>
      <c r="E1463" s="635" t="s">
        <v>1494</v>
      </c>
      <c r="F1463" s="465" t="s">
        <v>473</v>
      </c>
      <c r="G1463" s="466">
        <v>0</v>
      </c>
      <c r="H1463" s="466">
        <v>2.249</v>
      </c>
      <c r="I1463" s="467">
        <v>1.183</v>
      </c>
      <c r="J1463" s="468">
        <v>1.066</v>
      </c>
    </row>
    <row r="1464" spans="1:10" ht="12.75" outlineLevel="2">
      <c r="A1464" s="645">
        <v>2141138078</v>
      </c>
      <c r="B1464" s="635" t="s">
        <v>2044</v>
      </c>
      <c r="C1464" s="635" t="s">
        <v>1425</v>
      </c>
      <c r="D1464" s="635"/>
      <c r="E1464" s="635" t="s">
        <v>1494</v>
      </c>
      <c r="F1464" s="465" t="s">
        <v>1845</v>
      </c>
      <c r="G1464" s="466">
        <v>0</v>
      </c>
      <c r="H1464" s="466">
        <v>2.02</v>
      </c>
      <c r="I1464" s="467">
        <v>2.02</v>
      </c>
      <c r="J1464" s="468">
        <v>0</v>
      </c>
    </row>
    <row r="1465" spans="1:10" ht="12.75" outlineLevel="2">
      <c r="A1465" s="645">
        <v>2141138079</v>
      </c>
      <c r="B1465" s="635" t="s">
        <v>2043</v>
      </c>
      <c r="C1465" s="635" t="s">
        <v>1428</v>
      </c>
      <c r="D1465" s="635"/>
      <c r="E1465" s="635" t="s">
        <v>1494</v>
      </c>
      <c r="F1465" s="465" t="s">
        <v>473</v>
      </c>
      <c r="G1465" s="466">
        <v>0</v>
      </c>
      <c r="H1465" s="466">
        <v>2.128</v>
      </c>
      <c r="I1465" s="467">
        <v>1.948</v>
      </c>
      <c r="J1465" s="468">
        <v>0.18</v>
      </c>
    </row>
    <row r="1466" spans="1:10" ht="12.75" outlineLevel="2">
      <c r="A1466" s="645">
        <v>2141138080</v>
      </c>
      <c r="B1466" s="635" t="s">
        <v>2044</v>
      </c>
      <c r="C1466" s="635" t="s">
        <v>1428</v>
      </c>
      <c r="D1466" s="635"/>
      <c r="E1466" s="635" t="s">
        <v>1494</v>
      </c>
      <c r="F1466" s="465" t="s">
        <v>1845</v>
      </c>
      <c r="G1466" s="466">
        <v>0</v>
      </c>
      <c r="H1466" s="466">
        <v>0.64</v>
      </c>
      <c r="I1466" s="467">
        <v>0.64</v>
      </c>
      <c r="J1466" s="468">
        <v>0</v>
      </c>
    </row>
    <row r="1467" spans="1:10" ht="12.75" outlineLevel="2">
      <c r="A1467" s="645">
        <v>2141138081</v>
      </c>
      <c r="B1467" s="635" t="s">
        <v>1286</v>
      </c>
      <c r="C1467" s="635" t="s">
        <v>1426</v>
      </c>
      <c r="D1467" s="635"/>
      <c r="E1467" s="635" t="s">
        <v>1494</v>
      </c>
      <c r="F1467" s="465" t="s">
        <v>473</v>
      </c>
      <c r="G1467" s="466">
        <v>0</v>
      </c>
      <c r="H1467" s="466">
        <v>0.912</v>
      </c>
      <c r="I1467" s="467">
        <v>0.559</v>
      </c>
      <c r="J1467" s="468">
        <v>0.353</v>
      </c>
    </row>
    <row r="1468" spans="1:10" ht="12.75" outlineLevel="2">
      <c r="A1468" s="645">
        <v>2141138082</v>
      </c>
      <c r="B1468" s="635" t="s">
        <v>1287</v>
      </c>
      <c r="C1468" s="635" t="s">
        <v>1426</v>
      </c>
      <c r="D1468" s="635"/>
      <c r="E1468" s="635" t="s">
        <v>1494</v>
      </c>
      <c r="F1468" s="465" t="s">
        <v>1845</v>
      </c>
      <c r="G1468" s="466">
        <v>0</v>
      </c>
      <c r="H1468" s="466">
        <v>0.172</v>
      </c>
      <c r="I1468" s="467">
        <v>0.172</v>
      </c>
      <c r="J1468" s="468">
        <v>0</v>
      </c>
    </row>
    <row r="1469" spans="1:10" ht="12.75" outlineLevel="2">
      <c r="A1469" s="645">
        <v>2141138083</v>
      </c>
      <c r="B1469" s="635" t="s">
        <v>1288</v>
      </c>
      <c r="C1469" s="635" t="s">
        <v>1422</v>
      </c>
      <c r="D1469" s="635"/>
      <c r="E1469" s="635" t="s">
        <v>1494</v>
      </c>
      <c r="F1469" s="465" t="s">
        <v>473</v>
      </c>
      <c r="G1469" s="466">
        <v>0</v>
      </c>
      <c r="H1469" s="466">
        <v>3.496</v>
      </c>
      <c r="I1469" s="467">
        <v>1.423</v>
      </c>
      <c r="J1469" s="468">
        <v>2.073</v>
      </c>
    </row>
    <row r="1470" spans="1:10" ht="12.75" outlineLevel="2">
      <c r="A1470" s="645">
        <v>2141138084</v>
      </c>
      <c r="B1470" s="635" t="s">
        <v>1289</v>
      </c>
      <c r="C1470" s="635" t="s">
        <v>1422</v>
      </c>
      <c r="D1470" s="635"/>
      <c r="E1470" s="635" t="s">
        <v>1494</v>
      </c>
      <c r="F1470" s="465" t="s">
        <v>1845</v>
      </c>
      <c r="G1470" s="466">
        <v>0</v>
      </c>
      <c r="H1470" s="466">
        <v>2.88</v>
      </c>
      <c r="I1470" s="467">
        <v>2.875</v>
      </c>
      <c r="J1470" s="468">
        <v>0</v>
      </c>
    </row>
    <row r="1471" spans="1:10" ht="12.75" outlineLevel="2">
      <c r="A1471" s="645">
        <v>2141138085</v>
      </c>
      <c r="B1471" s="635" t="s">
        <v>2043</v>
      </c>
      <c r="C1471" s="635" t="s">
        <v>791</v>
      </c>
      <c r="D1471" s="635"/>
      <c r="E1471" s="635" t="s">
        <v>1494</v>
      </c>
      <c r="F1471" s="465" t="s">
        <v>473</v>
      </c>
      <c r="G1471" s="466">
        <v>0</v>
      </c>
      <c r="H1471" s="466">
        <v>4.294</v>
      </c>
      <c r="I1471" s="467">
        <v>2.359</v>
      </c>
      <c r="J1471" s="468">
        <v>1.935</v>
      </c>
    </row>
    <row r="1472" spans="1:10" ht="12.75" outlineLevel="2">
      <c r="A1472" s="645">
        <v>2141138086</v>
      </c>
      <c r="B1472" s="635" t="s">
        <v>2044</v>
      </c>
      <c r="C1472" s="635" t="s">
        <v>791</v>
      </c>
      <c r="D1472" s="635"/>
      <c r="E1472" s="635" t="s">
        <v>1494</v>
      </c>
      <c r="F1472" s="465" t="s">
        <v>1845</v>
      </c>
      <c r="G1472" s="466">
        <v>0</v>
      </c>
      <c r="H1472" s="466">
        <v>1.85</v>
      </c>
      <c r="I1472" s="467">
        <v>1.849</v>
      </c>
      <c r="J1472" s="468">
        <v>0</v>
      </c>
    </row>
    <row r="1473" spans="1:10" ht="12.75" outlineLevel="2">
      <c r="A1473" s="645">
        <v>2141138087</v>
      </c>
      <c r="B1473" s="635" t="s">
        <v>2043</v>
      </c>
      <c r="C1473" s="635" t="s">
        <v>1424</v>
      </c>
      <c r="D1473" s="635"/>
      <c r="E1473" s="635" t="s">
        <v>1494</v>
      </c>
      <c r="F1473" s="465" t="s">
        <v>473</v>
      </c>
      <c r="G1473" s="466">
        <v>0</v>
      </c>
      <c r="H1473" s="466">
        <v>4.568</v>
      </c>
      <c r="I1473" s="467">
        <v>1.128</v>
      </c>
      <c r="J1473" s="468">
        <v>3.44</v>
      </c>
    </row>
    <row r="1474" spans="1:10" ht="12.75" outlineLevel="2">
      <c r="A1474" s="645">
        <v>2141138088</v>
      </c>
      <c r="B1474" s="635" t="s">
        <v>1290</v>
      </c>
      <c r="C1474" s="635" t="s">
        <v>2438</v>
      </c>
      <c r="D1474" s="635"/>
      <c r="E1474" s="635" t="s">
        <v>1494</v>
      </c>
      <c r="F1474" s="465" t="s">
        <v>96</v>
      </c>
      <c r="G1474" s="466">
        <v>0</v>
      </c>
      <c r="H1474" s="466">
        <v>1.5</v>
      </c>
      <c r="I1474" s="467">
        <v>1</v>
      </c>
      <c r="J1474" s="468">
        <v>0</v>
      </c>
    </row>
    <row r="1475" spans="1:10" ht="12.75" outlineLevel="2">
      <c r="A1475" s="645">
        <v>2141138089</v>
      </c>
      <c r="B1475" s="635" t="s">
        <v>2246</v>
      </c>
      <c r="C1475" s="635" t="s">
        <v>1424</v>
      </c>
      <c r="D1475" s="635"/>
      <c r="E1475" s="635" t="s">
        <v>1494</v>
      </c>
      <c r="F1475" s="465" t="s">
        <v>96</v>
      </c>
      <c r="G1475" s="466">
        <v>0</v>
      </c>
      <c r="H1475" s="466">
        <v>0.21</v>
      </c>
      <c r="I1475" s="467">
        <v>0.208</v>
      </c>
      <c r="J1475" s="468">
        <v>0</v>
      </c>
    </row>
    <row r="1476" spans="1:10" ht="12.75" outlineLevel="2">
      <c r="A1476" s="645">
        <v>2141138090</v>
      </c>
      <c r="B1476" s="635" t="s">
        <v>1291</v>
      </c>
      <c r="C1476" s="635" t="s">
        <v>1425</v>
      </c>
      <c r="D1476" s="635"/>
      <c r="E1476" s="635" t="s">
        <v>1494</v>
      </c>
      <c r="F1476" s="465" t="s">
        <v>1845</v>
      </c>
      <c r="G1476" s="466">
        <v>0</v>
      </c>
      <c r="H1476" s="466">
        <v>4.55</v>
      </c>
      <c r="I1476" s="467">
        <v>4.541</v>
      </c>
      <c r="J1476" s="468">
        <v>0</v>
      </c>
    </row>
    <row r="1477" spans="1:10" ht="12.75" outlineLevel="2">
      <c r="A1477" s="645">
        <v>2141138090</v>
      </c>
      <c r="B1477" s="635" t="s">
        <v>1291</v>
      </c>
      <c r="C1477" s="635" t="s">
        <v>1425</v>
      </c>
      <c r="D1477" s="635"/>
      <c r="E1477" s="635" t="s">
        <v>1494</v>
      </c>
      <c r="F1477" s="465" t="s">
        <v>96</v>
      </c>
      <c r="G1477" s="466">
        <v>0</v>
      </c>
      <c r="H1477" s="466">
        <v>0.837</v>
      </c>
      <c r="I1477" s="467">
        <v>0.836</v>
      </c>
      <c r="J1477" s="468">
        <v>0</v>
      </c>
    </row>
    <row r="1478" spans="1:10" ht="12.75" outlineLevel="2">
      <c r="A1478" s="645">
        <v>2141138091</v>
      </c>
      <c r="B1478" s="635" t="s">
        <v>1292</v>
      </c>
      <c r="C1478" s="635" t="s">
        <v>1424</v>
      </c>
      <c r="D1478" s="635"/>
      <c r="E1478" s="635" t="s">
        <v>1494</v>
      </c>
      <c r="F1478" s="465" t="s">
        <v>1845</v>
      </c>
      <c r="G1478" s="466">
        <v>0</v>
      </c>
      <c r="H1478" s="466">
        <v>0.18</v>
      </c>
      <c r="I1478" s="467">
        <v>0.179</v>
      </c>
      <c r="J1478" s="468">
        <v>0</v>
      </c>
    </row>
    <row r="1479" spans="1:10" ht="12.75" outlineLevel="2">
      <c r="A1479" s="645">
        <v>2141138092</v>
      </c>
      <c r="B1479" s="635" t="s">
        <v>1293</v>
      </c>
      <c r="C1479" s="635" t="s">
        <v>1426</v>
      </c>
      <c r="D1479" s="635"/>
      <c r="E1479" s="635" t="s">
        <v>1494</v>
      </c>
      <c r="F1479" s="465" t="s">
        <v>333</v>
      </c>
      <c r="G1479" s="466">
        <v>0</v>
      </c>
      <c r="H1479" s="466">
        <v>0</v>
      </c>
      <c r="I1479" s="467">
        <v>0.075</v>
      </c>
      <c r="J1479" s="468">
        <v>0</v>
      </c>
    </row>
    <row r="1480" spans="1:10" ht="12.75" outlineLevel="2">
      <c r="A1480" s="645">
        <v>2141138093</v>
      </c>
      <c r="B1480" s="635" t="s">
        <v>1294</v>
      </c>
      <c r="C1480" s="635" t="s">
        <v>1427</v>
      </c>
      <c r="D1480" s="635"/>
      <c r="E1480" s="635" t="s">
        <v>1494</v>
      </c>
      <c r="F1480" s="465" t="s">
        <v>1845</v>
      </c>
      <c r="G1480" s="466">
        <v>0</v>
      </c>
      <c r="H1480" s="466">
        <v>0.024</v>
      </c>
      <c r="I1480" s="467">
        <v>0.024</v>
      </c>
      <c r="J1480" s="468">
        <v>0</v>
      </c>
    </row>
    <row r="1481" spans="1:10" ht="12.75" outlineLevel="2">
      <c r="A1481" s="645">
        <v>2141138093</v>
      </c>
      <c r="B1481" s="635" t="s">
        <v>1294</v>
      </c>
      <c r="C1481" s="635" t="s">
        <v>1427</v>
      </c>
      <c r="D1481" s="635"/>
      <c r="E1481" s="635" t="s">
        <v>1494</v>
      </c>
      <c r="F1481" s="465" t="s">
        <v>96</v>
      </c>
      <c r="G1481" s="466">
        <v>0</v>
      </c>
      <c r="H1481" s="466">
        <v>0.124</v>
      </c>
      <c r="I1481" s="467">
        <v>0.123</v>
      </c>
      <c r="J1481" s="468">
        <v>0</v>
      </c>
    </row>
    <row r="1482" spans="1:10" ht="12.75" outlineLevel="2">
      <c r="A1482" s="645">
        <v>2141138094</v>
      </c>
      <c r="B1482" s="635" t="s">
        <v>1295</v>
      </c>
      <c r="C1482" s="635" t="s">
        <v>1423</v>
      </c>
      <c r="D1482" s="635"/>
      <c r="E1482" s="635" t="s">
        <v>1494</v>
      </c>
      <c r="F1482" s="465" t="s">
        <v>96</v>
      </c>
      <c r="G1482" s="466">
        <v>0</v>
      </c>
      <c r="H1482" s="466">
        <v>0.077</v>
      </c>
      <c r="I1482" s="467">
        <v>0.077</v>
      </c>
      <c r="J1482" s="468">
        <v>0</v>
      </c>
    </row>
    <row r="1483" spans="1:10" ht="12.75" outlineLevel="2">
      <c r="A1483" s="645">
        <v>2141138095</v>
      </c>
      <c r="B1483" s="635" t="s">
        <v>1296</v>
      </c>
      <c r="C1483" s="635" t="s">
        <v>2438</v>
      </c>
      <c r="D1483" s="635"/>
      <c r="E1483" s="635" t="s">
        <v>1494</v>
      </c>
      <c r="F1483" s="465" t="s">
        <v>96</v>
      </c>
      <c r="G1483" s="466">
        <v>0</v>
      </c>
      <c r="H1483" s="466">
        <v>6.112</v>
      </c>
      <c r="I1483" s="467">
        <v>6.111</v>
      </c>
      <c r="J1483" s="468">
        <v>0</v>
      </c>
    </row>
    <row r="1484" spans="1:10" ht="12.75" outlineLevel="2">
      <c r="A1484" s="645">
        <v>2141138096</v>
      </c>
      <c r="B1484" s="635" t="s">
        <v>1297</v>
      </c>
      <c r="C1484" s="635" t="s">
        <v>2438</v>
      </c>
      <c r="D1484" s="635"/>
      <c r="E1484" s="635" t="s">
        <v>1494</v>
      </c>
      <c r="F1484" s="465" t="s">
        <v>96</v>
      </c>
      <c r="G1484" s="466">
        <v>0</v>
      </c>
      <c r="H1484" s="466">
        <v>8.521</v>
      </c>
      <c r="I1484" s="467">
        <v>8.517</v>
      </c>
      <c r="J1484" s="468">
        <v>0</v>
      </c>
    </row>
    <row r="1485" spans="1:10" ht="12.75" outlineLevel="2">
      <c r="A1485" s="645">
        <v>2141138097</v>
      </c>
      <c r="B1485" s="635" t="s">
        <v>1298</v>
      </c>
      <c r="C1485" s="635" t="s">
        <v>2438</v>
      </c>
      <c r="D1485" s="635"/>
      <c r="E1485" s="635" t="s">
        <v>1494</v>
      </c>
      <c r="F1485" s="465" t="s">
        <v>96</v>
      </c>
      <c r="G1485" s="466">
        <v>0</v>
      </c>
      <c r="H1485" s="466">
        <v>9.875</v>
      </c>
      <c r="I1485" s="467">
        <v>9.874</v>
      </c>
      <c r="J1485" s="468">
        <v>0</v>
      </c>
    </row>
    <row r="1486" spans="1:10" ht="12.75" outlineLevel="2">
      <c r="A1486" s="645">
        <v>2141138098</v>
      </c>
      <c r="B1486" s="635" t="s">
        <v>1299</v>
      </c>
      <c r="C1486" s="635" t="s">
        <v>2438</v>
      </c>
      <c r="D1486" s="635"/>
      <c r="E1486" s="635" t="s">
        <v>1494</v>
      </c>
      <c r="F1486" s="465" t="s">
        <v>96</v>
      </c>
      <c r="G1486" s="466">
        <v>0</v>
      </c>
      <c r="H1486" s="466">
        <v>9.882</v>
      </c>
      <c r="I1486" s="467">
        <v>9.788</v>
      </c>
      <c r="J1486" s="468">
        <v>0</v>
      </c>
    </row>
    <row r="1487" spans="1:10" ht="12.75" outlineLevel="2">
      <c r="A1487" s="645">
        <v>2141138099</v>
      </c>
      <c r="B1487" s="635" t="s">
        <v>1300</v>
      </c>
      <c r="C1487" s="635" t="s">
        <v>2438</v>
      </c>
      <c r="D1487" s="635"/>
      <c r="E1487" s="635" t="s">
        <v>1494</v>
      </c>
      <c r="F1487" s="465" t="s">
        <v>96</v>
      </c>
      <c r="G1487" s="466">
        <v>0</v>
      </c>
      <c r="H1487" s="466">
        <v>3.815</v>
      </c>
      <c r="I1487" s="467">
        <v>3.815</v>
      </c>
      <c r="J1487" s="468">
        <v>0</v>
      </c>
    </row>
    <row r="1488" spans="1:10" ht="12.75" outlineLevel="2">
      <c r="A1488" s="645">
        <v>2141138100</v>
      </c>
      <c r="B1488" s="635" t="s">
        <v>1301</v>
      </c>
      <c r="C1488" s="635" t="s">
        <v>1426</v>
      </c>
      <c r="D1488" s="635"/>
      <c r="E1488" s="635" t="s">
        <v>1494</v>
      </c>
      <c r="F1488" s="465" t="s">
        <v>96</v>
      </c>
      <c r="G1488" s="466">
        <v>0</v>
      </c>
      <c r="H1488" s="466">
        <v>0.516</v>
      </c>
      <c r="I1488" s="467">
        <v>0.515</v>
      </c>
      <c r="J1488" s="468">
        <v>0</v>
      </c>
    </row>
    <row r="1489" spans="1:10" ht="12.75" outlineLevel="2">
      <c r="A1489" s="645">
        <v>2141138101</v>
      </c>
      <c r="B1489" s="635" t="s">
        <v>1302</v>
      </c>
      <c r="C1489" s="635" t="s">
        <v>1420</v>
      </c>
      <c r="D1489" s="635"/>
      <c r="E1489" s="635" t="s">
        <v>1494</v>
      </c>
      <c r="F1489" s="465" t="s">
        <v>96</v>
      </c>
      <c r="G1489" s="466">
        <v>0</v>
      </c>
      <c r="H1489" s="466">
        <v>0.066</v>
      </c>
      <c r="I1489" s="467">
        <v>0.065</v>
      </c>
      <c r="J1489" s="468">
        <v>0</v>
      </c>
    </row>
    <row r="1490" spans="1:10" ht="12.75" outlineLevel="2">
      <c r="A1490" s="645">
        <v>2141138102</v>
      </c>
      <c r="B1490" s="635" t="s">
        <v>1303</v>
      </c>
      <c r="C1490" s="635" t="s">
        <v>1420</v>
      </c>
      <c r="D1490" s="635"/>
      <c r="E1490" s="635" t="s">
        <v>1494</v>
      </c>
      <c r="F1490" s="465" t="s">
        <v>96</v>
      </c>
      <c r="G1490" s="466">
        <v>0</v>
      </c>
      <c r="H1490" s="466">
        <v>0.05</v>
      </c>
      <c r="I1490" s="467">
        <v>0.048</v>
      </c>
      <c r="J1490" s="468">
        <v>0</v>
      </c>
    </row>
    <row r="1491" spans="1:10" ht="12.75" outlineLevel="2">
      <c r="A1491" s="645">
        <v>2141138103</v>
      </c>
      <c r="B1491" s="635" t="s">
        <v>1304</v>
      </c>
      <c r="C1491" s="635" t="s">
        <v>2438</v>
      </c>
      <c r="D1491" s="635"/>
      <c r="E1491" s="635" t="s">
        <v>1494</v>
      </c>
      <c r="F1491" s="465" t="s">
        <v>96</v>
      </c>
      <c r="G1491" s="466">
        <v>0</v>
      </c>
      <c r="H1491" s="466">
        <v>1.049</v>
      </c>
      <c r="I1491" s="467">
        <v>1.049</v>
      </c>
      <c r="J1491" s="468">
        <v>0</v>
      </c>
    </row>
    <row r="1492" spans="1:10" ht="12.75" outlineLevel="2">
      <c r="A1492" s="645">
        <v>2141138104</v>
      </c>
      <c r="B1492" s="635" t="s">
        <v>1305</v>
      </c>
      <c r="C1492" s="635" t="s">
        <v>2438</v>
      </c>
      <c r="D1492" s="635"/>
      <c r="E1492" s="635" t="s">
        <v>1494</v>
      </c>
      <c r="F1492" s="465" t="s">
        <v>96</v>
      </c>
      <c r="G1492" s="466">
        <v>0</v>
      </c>
      <c r="H1492" s="466">
        <v>2.21</v>
      </c>
      <c r="I1492" s="467">
        <v>2.143</v>
      </c>
      <c r="J1492" s="468">
        <v>0</v>
      </c>
    </row>
    <row r="1493" spans="1:10" ht="12.75" outlineLevel="2">
      <c r="A1493" s="645">
        <v>2141138105</v>
      </c>
      <c r="B1493" s="635" t="s">
        <v>1306</v>
      </c>
      <c r="C1493" s="635" t="s">
        <v>2438</v>
      </c>
      <c r="D1493" s="635"/>
      <c r="E1493" s="635" t="s">
        <v>1494</v>
      </c>
      <c r="F1493" s="465" t="s">
        <v>96</v>
      </c>
      <c r="G1493" s="466">
        <v>0</v>
      </c>
      <c r="H1493" s="466">
        <v>0.161</v>
      </c>
      <c r="I1493" s="467">
        <v>0.161</v>
      </c>
      <c r="J1493" s="468">
        <v>0</v>
      </c>
    </row>
    <row r="1494" spans="1:10" ht="12.75" outlineLevel="2">
      <c r="A1494" s="645">
        <v>2141138106</v>
      </c>
      <c r="B1494" s="635" t="s">
        <v>1307</v>
      </c>
      <c r="C1494" s="635" t="s">
        <v>2438</v>
      </c>
      <c r="D1494" s="635"/>
      <c r="E1494" s="635" t="s">
        <v>1494</v>
      </c>
      <c r="F1494" s="465" t="s">
        <v>96</v>
      </c>
      <c r="G1494" s="466">
        <v>0</v>
      </c>
      <c r="H1494" s="466">
        <v>1.922</v>
      </c>
      <c r="I1494" s="467">
        <v>1.875</v>
      </c>
      <c r="J1494" s="468">
        <v>0</v>
      </c>
    </row>
    <row r="1495" spans="1:10" ht="12.75" outlineLevel="2">
      <c r="A1495" s="645">
        <v>2141138107</v>
      </c>
      <c r="B1495" s="635" t="s">
        <v>1308</v>
      </c>
      <c r="C1495" s="635" t="s">
        <v>1426</v>
      </c>
      <c r="D1495" s="635"/>
      <c r="E1495" s="635" t="s">
        <v>1494</v>
      </c>
      <c r="F1495" s="465" t="s">
        <v>96</v>
      </c>
      <c r="G1495" s="466">
        <v>0</v>
      </c>
      <c r="H1495" s="466">
        <v>0.24</v>
      </c>
      <c r="I1495" s="467">
        <v>0.24</v>
      </c>
      <c r="J1495" s="468">
        <v>0</v>
      </c>
    </row>
    <row r="1496" spans="1:10" ht="12.75" outlineLevel="2">
      <c r="A1496" s="645">
        <v>2141138108</v>
      </c>
      <c r="B1496" s="635" t="s">
        <v>1309</v>
      </c>
      <c r="C1496" s="635" t="s">
        <v>1422</v>
      </c>
      <c r="D1496" s="635"/>
      <c r="E1496" s="635" t="s">
        <v>1494</v>
      </c>
      <c r="F1496" s="465" t="s">
        <v>96</v>
      </c>
      <c r="G1496" s="466">
        <v>0</v>
      </c>
      <c r="H1496" s="466">
        <v>0.119</v>
      </c>
      <c r="I1496" s="467">
        <v>0.119</v>
      </c>
      <c r="J1496" s="468">
        <v>0</v>
      </c>
    </row>
    <row r="1497" spans="1:10" ht="12.75" outlineLevel="2">
      <c r="A1497" s="645">
        <v>2141138109</v>
      </c>
      <c r="B1497" s="635" t="s">
        <v>1310</v>
      </c>
      <c r="C1497" s="635" t="s">
        <v>1420</v>
      </c>
      <c r="D1497" s="635"/>
      <c r="E1497" s="635" t="s">
        <v>1494</v>
      </c>
      <c r="F1497" s="465" t="s">
        <v>96</v>
      </c>
      <c r="G1497" s="466">
        <v>0</v>
      </c>
      <c r="H1497" s="466">
        <v>0.147</v>
      </c>
      <c r="I1497" s="467">
        <v>0.146</v>
      </c>
      <c r="J1497" s="468">
        <v>0</v>
      </c>
    </row>
    <row r="1498" spans="1:10" ht="12.75" outlineLevel="2">
      <c r="A1498" s="645">
        <v>2141138110</v>
      </c>
      <c r="B1498" s="635" t="s">
        <v>1311</v>
      </c>
      <c r="C1498" s="635" t="s">
        <v>1425</v>
      </c>
      <c r="D1498" s="635"/>
      <c r="E1498" s="635" t="s">
        <v>1494</v>
      </c>
      <c r="F1498" s="465" t="s">
        <v>1845</v>
      </c>
      <c r="G1498" s="466">
        <v>0</v>
      </c>
      <c r="H1498" s="466">
        <v>0.995</v>
      </c>
      <c r="I1498" s="467">
        <v>0.994</v>
      </c>
      <c r="J1498" s="468">
        <v>0</v>
      </c>
    </row>
    <row r="1499" spans="1:10" ht="12.75" outlineLevel="2">
      <c r="A1499" s="645">
        <v>2141138111</v>
      </c>
      <c r="B1499" s="635" t="s">
        <v>1312</v>
      </c>
      <c r="C1499" s="635" t="s">
        <v>1420</v>
      </c>
      <c r="D1499" s="635"/>
      <c r="E1499" s="635" t="s">
        <v>1494</v>
      </c>
      <c r="F1499" s="465" t="s">
        <v>96</v>
      </c>
      <c r="G1499" s="466">
        <v>0</v>
      </c>
      <c r="H1499" s="466">
        <v>0.6</v>
      </c>
      <c r="I1499" s="467">
        <v>0.6</v>
      </c>
      <c r="J1499" s="468">
        <v>0</v>
      </c>
    </row>
    <row r="1500" spans="1:10" ht="12.75" outlineLevel="2">
      <c r="A1500" s="645">
        <v>2141138112</v>
      </c>
      <c r="B1500" s="635" t="s">
        <v>1313</v>
      </c>
      <c r="C1500" s="635" t="s">
        <v>1425</v>
      </c>
      <c r="D1500" s="635"/>
      <c r="E1500" s="635" t="s">
        <v>1494</v>
      </c>
      <c r="F1500" s="465" t="s">
        <v>96</v>
      </c>
      <c r="G1500" s="466">
        <v>0</v>
      </c>
      <c r="H1500" s="466">
        <v>0.59</v>
      </c>
      <c r="I1500" s="467">
        <v>0.59</v>
      </c>
      <c r="J1500" s="468">
        <v>0</v>
      </c>
    </row>
    <row r="1501" spans="1:10" ht="12.75" outlineLevel="2">
      <c r="A1501" s="645">
        <v>2141138113</v>
      </c>
      <c r="B1501" s="635" t="s">
        <v>1314</v>
      </c>
      <c r="C1501" s="635" t="s">
        <v>1423</v>
      </c>
      <c r="D1501" s="635"/>
      <c r="E1501" s="635" t="s">
        <v>1494</v>
      </c>
      <c r="F1501" s="465" t="s">
        <v>96</v>
      </c>
      <c r="G1501" s="466">
        <v>0</v>
      </c>
      <c r="H1501" s="466">
        <v>0.41</v>
      </c>
      <c r="I1501" s="467">
        <v>0.402</v>
      </c>
      <c r="J1501" s="468">
        <v>0</v>
      </c>
    </row>
    <row r="1502" spans="1:10" ht="12.75" outlineLevel="2">
      <c r="A1502" s="645">
        <v>2141138114</v>
      </c>
      <c r="B1502" s="635" t="s">
        <v>1315</v>
      </c>
      <c r="C1502" s="635" t="s">
        <v>1422</v>
      </c>
      <c r="D1502" s="635"/>
      <c r="E1502" s="635" t="s">
        <v>1494</v>
      </c>
      <c r="F1502" s="465" t="s">
        <v>96</v>
      </c>
      <c r="G1502" s="466">
        <v>0</v>
      </c>
      <c r="H1502" s="466">
        <v>2.38</v>
      </c>
      <c r="I1502" s="467">
        <v>2.38</v>
      </c>
      <c r="J1502" s="468">
        <v>0</v>
      </c>
    </row>
    <row r="1503" spans="1:10" ht="12.75" outlineLevel="2">
      <c r="A1503" s="645">
        <v>2141138115</v>
      </c>
      <c r="B1503" s="635" t="s">
        <v>1316</v>
      </c>
      <c r="C1503" s="635" t="s">
        <v>1423</v>
      </c>
      <c r="D1503" s="635"/>
      <c r="E1503" s="635" t="s">
        <v>1494</v>
      </c>
      <c r="F1503" s="465" t="s">
        <v>96</v>
      </c>
      <c r="G1503" s="466">
        <v>0</v>
      </c>
      <c r="H1503" s="466">
        <v>2.38</v>
      </c>
      <c r="I1503" s="467">
        <v>2.379</v>
      </c>
      <c r="J1503" s="468">
        <v>0</v>
      </c>
    </row>
    <row r="1504" spans="1:10" ht="12.75" outlineLevel="2">
      <c r="A1504" s="645">
        <v>2141138116</v>
      </c>
      <c r="B1504" s="635" t="s">
        <v>1317</v>
      </c>
      <c r="C1504" s="635" t="s">
        <v>2438</v>
      </c>
      <c r="D1504" s="635"/>
      <c r="E1504" s="635" t="s">
        <v>1494</v>
      </c>
      <c r="F1504" s="465" t="s">
        <v>96</v>
      </c>
      <c r="G1504" s="466">
        <v>0</v>
      </c>
      <c r="H1504" s="466">
        <v>5.247</v>
      </c>
      <c r="I1504" s="467">
        <v>5.246</v>
      </c>
      <c r="J1504" s="468">
        <v>0</v>
      </c>
    </row>
    <row r="1505" spans="1:10" ht="12.75" outlineLevel="2">
      <c r="A1505" s="645">
        <v>2141138117</v>
      </c>
      <c r="B1505" s="635" t="s">
        <v>1318</v>
      </c>
      <c r="C1505" s="635" t="s">
        <v>2438</v>
      </c>
      <c r="D1505" s="635"/>
      <c r="E1505" s="635" t="s">
        <v>1494</v>
      </c>
      <c r="F1505" s="465" t="s">
        <v>96</v>
      </c>
      <c r="G1505" s="466">
        <v>0</v>
      </c>
      <c r="H1505" s="466">
        <v>5.232</v>
      </c>
      <c r="I1505" s="467">
        <v>5.221</v>
      </c>
      <c r="J1505" s="468">
        <v>0</v>
      </c>
    </row>
    <row r="1506" spans="1:10" ht="12.75" outlineLevel="2">
      <c r="A1506" s="645">
        <v>2141138118</v>
      </c>
      <c r="B1506" s="635" t="s">
        <v>1319</v>
      </c>
      <c r="C1506" s="635" t="s">
        <v>2438</v>
      </c>
      <c r="D1506" s="635"/>
      <c r="E1506" s="635" t="s">
        <v>1494</v>
      </c>
      <c r="F1506" s="465" t="s">
        <v>96</v>
      </c>
      <c r="G1506" s="466">
        <v>0</v>
      </c>
      <c r="H1506" s="466">
        <v>2.292</v>
      </c>
      <c r="I1506" s="467">
        <v>2.29</v>
      </c>
      <c r="J1506" s="468">
        <v>0</v>
      </c>
    </row>
    <row r="1507" spans="1:10" ht="12.75" outlineLevel="2">
      <c r="A1507" s="645">
        <v>2141138119</v>
      </c>
      <c r="B1507" s="635" t="s">
        <v>1320</v>
      </c>
      <c r="C1507" s="635" t="s">
        <v>2438</v>
      </c>
      <c r="D1507" s="635"/>
      <c r="E1507" s="635" t="s">
        <v>1494</v>
      </c>
      <c r="F1507" s="465" t="s">
        <v>96</v>
      </c>
      <c r="G1507" s="466">
        <v>0</v>
      </c>
      <c r="H1507" s="466">
        <v>13.98</v>
      </c>
      <c r="I1507" s="467">
        <v>13.977</v>
      </c>
      <c r="J1507" s="468">
        <v>0</v>
      </c>
    </row>
    <row r="1508" spans="1:10" ht="12.75" outlineLevel="2">
      <c r="A1508" s="645">
        <v>2141138120</v>
      </c>
      <c r="B1508" s="635" t="s">
        <v>1321</v>
      </c>
      <c r="C1508" s="635" t="s">
        <v>2438</v>
      </c>
      <c r="D1508" s="635"/>
      <c r="E1508" s="635" t="s">
        <v>1494</v>
      </c>
      <c r="F1508" s="465" t="s">
        <v>96</v>
      </c>
      <c r="G1508" s="466">
        <v>0</v>
      </c>
      <c r="H1508" s="466">
        <v>4.162</v>
      </c>
      <c r="I1508" s="467">
        <v>4.161</v>
      </c>
      <c r="J1508" s="468">
        <v>0</v>
      </c>
    </row>
    <row r="1509" spans="1:10" ht="12.75" outlineLevel="2">
      <c r="A1509" s="645">
        <v>2141138121</v>
      </c>
      <c r="B1509" s="635" t="s">
        <v>1322</v>
      </c>
      <c r="C1509" s="635" t="s">
        <v>2438</v>
      </c>
      <c r="D1509" s="635"/>
      <c r="E1509" s="635" t="s">
        <v>1494</v>
      </c>
      <c r="F1509" s="465" t="s">
        <v>96</v>
      </c>
      <c r="G1509" s="466">
        <v>0</v>
      </c>
      <c r="H1509" s="466">
        <v>6.675</v>
      </c>
      <c r="I1509" s="467">
        <v>6.673</v>
      </c>
      <c r="J1509" s="468">
        <v>0</v>
      </c>
    </row>
    <row r="1510" spans="1:10" ht="12.75" outlineLevel="2">
      <c r="A1510" s="645">
        <v>2141138122</v>
      </c>
      <c r="B1510" s="635" t="s">
        <v>1323</v>
      </c>
      <c r="C1510" s="635" t="s">
        <v>2438</v>
      </c>
      <c r="D1510" s="635"/>
      <c r="E1510" s="635" t="s">
        <v>1494</v>
      </c>
      <c r="F1510" s="465" t="s">
        <v>96</v>
      </c>
      <c r="G1510" s="466">
        <v>0</v>
      </c>
      <c r="H1510" s="466">
        <v>7.752</v>
      </c>
      <c r="I1510" s="467">
        <v>7.73</v>
      </c>
      <c r="J1510" s="468">
        <v>0</v>
      </c>
    </row>
    <row r="1511" spans="1:10" ht="12.75" outlineLevel="2">
      <c r="A1511" s="645">
        <v>2141138123</v>
      </c>
      <c r="B1511" s="635" t="s">
        <v>1324</v>
      </c>
      <c r="C1511" s="635" t="s">
        <v>2438</v>
      </c>
      <c r="D1511" s="635"/>
      <c r="E1511" s="635" t="s">
        <v>1494</v>
      </c>
      <c r="F1511" s="465" t="s">
        <v>96</v>
      </c>
      <c r="G1511" s="466">
        <v>0</v>
      </c>
      <c r="H1511" s="466">
        <v>13.66</v>
      </c>
      <c r="I1511" s="467">
        <v>13.658</v>
      </c>
      <c r="J1511" s="468">
        <v>0</v>
      </c>
    </row>
    <row r="1512" spans="1:10" ht="12.75" outlineLevel="2">
      <c r="A1512" s="645">
        <v>2141147001</v>
      </c>
      <c r="B1512" s="635" t="s">
        <v>1979</v>
      </c>
      <c r="C1512" s="635" t="s">
        <v>2438</v>
      </c>
      <c r="D1512" s="635"/>
      <c r="E1512" s="635" t="s">
        <v>1494</v>
      </c>
      <c r="F1512" s="465" t="s">
        <v>96</v>
      </c>
      <c r="G1512" s="466">
        <v>1.2</v>
      </c>
      <c r="H1512" s="466">
        <v>0.149</v>
      </c>
      <c r="I1512" s="467">
        <v>0.149</v>
      </c>
      <c r="J1512" s="468">
        <v>0</v>
      </c>
    </row>
    <row r="1513" spans="1:10" ht="12.75" outlineLevel="2">
      <c r="A1513" s="645">
        <v>2141147002</v>
      </c>
      <c r="B1513" s="635" t="s">
        <v>1325</v>
      </c>
      <c r="C1513" s="635" t="s">
        <v>2438</v>
      </c>
      <c r="D1513" s="635"/>
      <c r="E1513" s="635" t="s">
        <v>1494</v>
      </c>
      <c r="F1513" s="465" t="s">
        <v>96</v>
      </c>
      <c r="G1513" s="466">
        <v>2.2</v>
      </c>
      <c r="H1513" s="466">
        <v>0</v>
      </c>
      <c r="I1513" s="467">
        <v>0</v>
      </c>
      <c r="J1513" s="468">
        <v>0</v>
      </c>
    </row>
    <row r="1514" spans="1:10" ht="12.75" outlineLevel="2">
      <c r="A1514" s="645">
        <v>2141148000</v>
      </c>
      <c r="B1514" s="635" t="s">
        <v>1326</v>
      </c>
      <c r="C1514" s="635" t="s">
        <v>2438</v>
      </c>
      <c r="D1514" s="635"/>
      <c r="E1514" s="635" t="s">
        <v>1533</v>
      </c>
      <c r="F1514" s="465" t="s">
        <v>96</v>
      </c>
      <c r="G1514" s="466">
        <v>16</v>
      </c>
      <c r="H1514" s="466">
        <v>0</v>
      </c>
      <c r="I1514" s="467">
        <v>0</v>
      </c>
      <c r="J1514" s="468">
        <v>0</v>
      </c>
    </row>
    <row r="1515" spans="1:10" ht="12.75" outlineLevel="2">
      <c r="A1515" s="645">
        <v>2141148001</v>
      </c>
      <c r="B1515" s="635" t="s">
        <v>1325</v>
      </c>
      <c r="C1515" s="635" t="s">
        <v>2438</v>
      </c>
      <c r="D1515" s="635"/>
      <c r="E1515" s="635" t="s">
        <v>1494</v>
      </c>
      <c r="F1515" s="465" t="s">
        <v>96</v>
      </c>
      <c r="G1515" s="466">
        <v>0</v>
      </c>
      <c r="H1515" s="466">
        <v>1.303</v>
      </c>
      <c r="I1515" s="467">
        <v>1.303</v>
      </c>
      <c r="J1515" s="468">
        <v>0</v>
      </c>
    </row>
    <row r="1516" spans="1:10" ht="12.75" outlineLevel="2">
      <c r="A1516" s="645">
        <v>2141148002</v>
      </c>
      <c r="B1516" s="635" t="s">
        <v>1327</v>
      </c>
      <c r="C1516" s="635" t="s">
        <v>2438</v>
      </c>
      <c r="D1516" s="635"/>
      <c r="E1516" s="635" t="s">
        <v>1494</v>
      </c>
      <c r="F1516" s="465" t="s">
        <v>96</v>
      </c>
      <c r="G1516" s="466">
        <v>0</v>
      </c>
      <c r="H1516" s="466">
        <v>5.491</v>
      </c>
      <c r="I1516" s="467">
        <v>5.491</v>
      </c>
      <c r="J1516" s="468">
        <v>0</v>
      </c>
    </row>
    <row r="1517" spans="1:10" ht="12.75" outlineLevel="2">
      <c r="A1517" s="645">
        <v>2141148003</v>
      </c>
      <c r="B1517" s="635" t="s">
        <v>1328</v>
      </c>
      <c r="C1517" s="635" t="s">
        <v>2438</v>
      </c>
      <c r="D1517" s="635"/>
      <c r="E1517" s="635" t="s">
        <v>1494</v>
      </c>
      <c r="F1517" s="465" t="s">
        <v>96</v>
      </c>
      <c r="G1517" s="466">
        <v>0</v>
      </c>
      <c r="H1517" s="466">
        <v>16.515</v>
      </c>
      <c r="I1517" s="467">
        <v>16.514</v>
      </c>
      <c r="J1517" s="468">
        <v>0.001</v>
      </c>
    </row>
    <row r="1518" spans="1:10" ht="12.75" outlineLevel="2">
      <c r="A1518" s="645">
        <v>2141148004</v>
      </c>
      <c r="B1518" s="635" t="s">
        <v>1329</v>
      </c>
      <c r="C1518" s="635" t="s">
        <v>2438</v>
      </c>
      <c r="D1518" s="635"/>
      <c r="E1518" s="635" t="s">
        <v>1494</v>
      </c>
      <c r="F1518" s="465" t="s">
        <v>96</v>
      </c>
      <c r="G1518" s="466">
        <v>0</v>
      </c>
      <c r="H1518" s="466">
        <v>2.057</v>
      </c>
      <c r="I1518" s="467">
        <v>2.055</v>
      </c>
      <c r="J1518" s="468">
        <v>0.002</v>
      </c>
    </row>
    <row r="1519" spans="1:10" ht="12.75" outlineLevel="2">
      <c r="A1519" s="645">
        <v>2141150001</v>
      </c>
      <c r="B1519" s="635" t="s">
        <v>1330</v>
      </c>
      <c r="C1519" s="635" t="s">
        <v>1420</v>
      </c>
      <c r="D1519" s="635"/>
      <c r="E1519" s="635" t="s">
        <v>1494</v>
      </c>
      <c r="F1519" s="465" t="s">
        <v>1845</v>
      </c>
      <c r="G1519" s="466">
        <v>53.81</v>
      </c>
      <c r="H1519" s="466">
        <v>40.81</v>
      </c>
      <c r="I1519" s="467">
        <v>38.747</v>
      </c>
      <c r="J1519" s="468">
        <v>2.063</v>
      </c>
    </row>
    <row r="1520" spans="1:10" ht="12.75" outlineLevel="2">
      <c r="A1520" s="645">
        <v>2141150001</v>
      </c>
      <c r="B1520" s="635" t="s">
        <v>1330</v>
      </c>
      <c r="C1520" s="635" t="s">
        <v>1420</v>
      </c>
      <c r="D1520" s="635"/>
      <c r="E1520" s="635" t="s">
        <v>1494</v>
      </c>
      <c r="F1520" s="465" t="s">
        <v>332</v>
      </c>
      <c r="G1520" s="466">
        <v>0</v>
      </c>
      <c r="H1520" s="466">
        <v>0</v>
      </c>
      <c r="I1520" s="467">
        <v>2.925</v>
      </c>
      <c r="J1520" s="468">
        <v>0</v>
      </c>
    </row>
    <row r="1521" spans="1:10" ht="12.75" outlineLevel="2">
      <c r="A1521" s="645">
        <v>2141150001</v>
      </c>
      <c r="B1521" s="635" t="s">
        <v>1330</v>
      </c>
      <c r="C1521" s="635" t="s">
        <v>1420</v>
      </c>
      <c r="D1521" s="635"/>
      <c r="E1521" s="635" t="s">
        <v>1494</v>
      </c>
      <c r="F1521" s="465" t="s">
        <v>96</v>
      </c>
      <c r="G1521" s="466">
        <v>179.128</v>
      </c>
      <c r="H1521" s="466">
        <v>149.128</v>
      </c>
      <c r="I1521" s="467">
        <v>136.67</v>
      </c>
      <c r="J1521" s="468">
        <v>12.458</v>
      </c>
    </row>
    <row r="1522" spans="1:10" ht="12.75" outlineLevel="2">
      <c r="A1522" s="645">
        <v>2141156003</v>
      </c>
      <c r="B1522" s="635" t="s">
        <v>1331</v>
      </c>
      <c r="C1522" s="635" t="s">
        <v>1420</v>
      </c>
      <c r="D1522" s="635"/>
      <c r="E1522" s="635" t="s">
        <v>1494</v>
      </c>
      <c r="F1522" s="465" t="s">
        <v>1845</v>
      </c>
      <c r="G1522" s="466">
        <v>1.17</v>
      </c>
      <c r="H1522" s="466">
        <v>0.763</v>
      </c>
      <c r="I1522" s="467">
        <v>0.763</v>
      </c>
      <c r="J1522" s="468">
        <v>0</v>
      </c>
    </row>
    <row r="1523" spans="1:10" ht="12.75" outlineLevel="2">
      <c r="A1523" s="645">
        <v>2141158000</v>
      </c>
      <c r="B1523" s="635" t="s">
        <v>1332</v>
      </c>
      <c r="C1523" s="635" t="s">
        <v>1420</v>
      </c>
      <c r="D1523" s="635"/>
      <c r="E1523" s="635" t="s">
        <v>1494</v>
      </c>
      <c r="F1523" s="465" t="s">
        <v>1845</v>
      </c>
      <c r="G1523" s="466">
        <v>36.914</v>
      </c>
      <c r="H1523" s="466">
        <v>33.674</v>
      </c>
      <c r="I1523" s="467">
        <v>25.826</v>
      </c>
      <c r="J1523" s="468">
        <v>7.848</v>
      </c>
    </row>
    <row r="1524" spans="1:10" ht="12.75" outlineLevel="2">
      <c r="A1524" s="645">
        <v>2141158002</v>
      </c>
      <c r="B1524" s="635" t="s">
        <v>1333</v>
      </c>
      <c r="C1524" s="635" t="s">
        <v>1420</v>
      </c>
      <c r="D1524" s="635"/>
      <c r="E1524" s="635" t="s">
        <v>1494</v>
      </c>
      <c r="F1524" s="465" t="s">
        <v>96</v>
      </c>
      <c r="G1524" s="466">
        <v>0</v>
      </c>
      <c r="H1524" s="466">
        <v>0.723</v>
      </c>
      <c r="I1524" s="467">
        <v>0.663</v>
      </c>
      <c r="J1524" s="468">
        <v>0.06</v>
      </c>
    </row>
    <row r="1525" spans="1:10" ht="12.75" outlineLevel="2">
      <c r="A1525" s="645">
        <v>2141158003</v>
      </c>
      <c r="B1525" s="635" t="s">
        <v>587</v>
      </c>
      <c r="C1525" s="635" t="s">
        <v>1420</v>
      </c>
      <c r="D1525" s="635"/>
      <c r="E1525" s="635" t="s">
        <v>1494</v>
      </c>
      <c r="F1525" s="465" t="s">
        <v>96</v>
      </c>
      <c r="G1525" s="466">
        <v>0</v>
      </c>
      <c r="H1525" s="466">
        <v>0.919</v>
      </c>
      <c r="I1525" s="467">
        <v>0.918</v>
      </c>
      <c r="J1525" s="468">
        <v>0.001</v>
      </c>
    </row>
    <row r="1526" spans="1:10" ht="12.75" outlineLevel="2">
      <c r="A1526" s="645">
        <v>2141158004</v>
      </c>
      <c r="B1526" s="635" t="s">
        <v>588</v>
      </c>
      <c r="C1526" s="635" t="s">
        <v>1420</v>
      </c>
      <c r="D1526" s="635"/>
      <c r="E1526" s="635" t="s">
        <v>1494</v>
      </c>
      <c r="F1526" s="465" t="s">
        <v>96</v>
      </c>
      <c r="G1526" s="466">
        <v>0</v>
      </c>
      <c r="H1526" s="466">
        <v>70</v>
      </c>
      <c r="I1526" s="467">
        <v>52.814</v>
      </c>
      <c r="J1526" s="468">
        <v>17.186</v>
      </c>
    </row>
    <row r="1527" spans="1:10" ht="12.75" outlineLevel="2">
      <c r="A1527" s="645">
        <v>2141177002</v>
      </c>
      <c r="B1527" s="635" t="s">
        <v>589</v>
      </c>
      <c r="C1527" s="635" t="s">
        <v>1427</v>
      </c>
      <c r="D1527" s="635"/>
      <c r="E1527" s="635" t="s">
        <v>1494</v>
      </c>
      <c r="F1527" s="465" t="s">
        <v>96</v>
      </c>
      <c r="G1527" s="466">
        <v>0</v>
      </c>
      <c r="H1527" s="466">
        <v>0.158</v>
      </c>
      <c r="I1527" s="467">
        <v>0.157</v>
      </c>
      <c r="J1527" s="468">
        <v>0</v>
      </c>
    </row>
    <row r="1528" spans="1:10" ht="12.75" outlineLevel="2">
      <c r="A1528" s="645">
        <v>2141177002</v>
      </c>
      <c r="B1528" s="635" t="s">
        <v>589</v>
      </c>
      <c r="C1528" s="635" t="s">
        <v>1427</v>
      </c>
      <c r="D1528" s="635"/>
      <c r="E1528" s="635" t="s">
        <v>1494</v>
      </c>
      <c r="F1528" s="465" t="s">
        <v>333</v>
      </c>
      <c r="G1528" s="466">
        <v>0</v>
      </c>
      <c r="H1528" s="466">
        <v>0</v>
      </c>
      <c r="I1528" s="467">
        <v>1.58</v>
      </c>
      <c r="J1528" s="468">
        <v>0</v>
      </c>
    </row>
    <row r="1529" spans="1:10" ht="12.75" outlineLevel="2">
      <c r="A1529" s="645">
        <v>2141177003</v>
      </c>
      <c r="B1529" s="635" t="s">
        <v>590</v>
      </c>
      <c r="C1529" s="635" t="s">
        <v>1427</v>
      </c>
      <c r="D1529" s="635"/>
      <c r="E1529" s="635" t="s">
        <v>1494</v>
      </c>
      <c r="F1529" s="465" t="s">
        <v>333</v>
      </c>
      <c r="G1529" s="466">
        <v>0</v>
      </c>
      <c r="H1529" s="466">
        <v>0</v>
      </c>
      <c r="I1529" s="467">
        <v>1.661</v>
      </c>
      <c r="J1529" s="468">
        <v>0</v>
      </c>
    </row>
    <row r="1530" spans="1:10" ht="12.75" outlineLevel="2">
      <c r="A1530" s="645">
        <v>2141178001</v>
      </c>
      <c r="B1530" s="635" t="s">
        <v>591</v>
      </c>
      <c r="C1530" s="635" t="s">
        <v>1427</v>
      </c>
      <c r="D1530" s="635"/>
      <c r="E1530" s="635" t="s">
        <v>1533</v>
      </c>
      <c r="F1530" s="465" t="s">
        <v>96</v>
      </c>
      <c r="G1530" s="466">
        <v>1</v>
      </c>
      <c r="H1530" s="466">
        <v>0</v>
      </c>
      <c r="I1530" s="467">
        <v>0</v>
      </c>
      <c r="J1530" s="468">
        <v>0</v>
      </c>
    </row>
    <row r="1531" spans="1:10" ht="12.75" outlineLevel="2">
      <c r="A1531" s="645">
        <v>2141178002</v>
      </c>
      <c r="B1531" s="635" t="s">
        <v>592</v>
      </c>
      <c r="C1531" s="635" t="s">
        <v>1424</v>
      </c>
      <c r="D1531" s="635"/>
      <c r="E1531" s="635" t="s">
        <v>1494</v>
      </c>
      <c r="F1531" s="465" t="s">
        <v>96</v>
      </c>
      <c r="G1531" s="466">
        <v>0</v>
      </c>
      <c r="H1531" s="466">
        <v>0.366</v>
      </c>
      <c r="I1531" s="467">
        <v>0.365</v>
      </c>
      <c r="J1531" s="468">
        <v>0</v>
      </c>
    </row>
    <row r="1532" spans="1:10" ht="12.75" outlineLevel="2">
      <c r="A1532" s="645">
        <v>2141195031</v>
      </c>
      <c r="B1532" s="635" t="s">
        <v>593</v>
      </c>
      <c r="C1532" s="635" t="s">
        <v>1424</v>
      </c>
      <c r="D1532" s="635"/>
      <c r="E1532" s="635" t="s">
        <v>1494</v>
      </c>
      <c r="F1532" s="465" t="s">
        <v>96</v>
      </c>
      <c r="G1532" s="466">
        <v>0</v>
      </c>
      <c r="H1532" s="466">
        <v>1.241</v>
      </c>
      <c r="I1532" s="467">
        <v>1.24</v>
      </c>
      <c r="J1532" s="468">
        <v>0</v>
      </c>
    </row>
    <row r="1533" spans="1:10" ht="12.75" outlineLevel="2">
      <c r="A1533" s="645">
        <v>2141197008</v>
      </c>
      <c r="B1533" s="635" t="s">
        <v>594</v>
      </c>
      <c r="C1533" s="635" t="s">
        <v>1425</v>
      </c>
      <c r="D1533" s="635"/>
      <c r="E1533" s="635" t="s">
        <v>1494</v>
      </c>
      <c r="F1533" s="465" t="s">
        <v>333</v>
      </c>
      <c r="G1533" s="466">
        <v>0</v>
      </c>
      <c r="H1533" s="466">
        <v>0</v>
      </c>
      <c r="I1533" s="467">
        <v>4.081</v>
      </c>
      <c r="J1533" s="468">
        <v>0</v>
      </c>
    </row>
    <row r="1534" spans="1:10" ht="12.75" outlineLevel="2">
      <c r="A1534" s="645">
        <v>2141198001</v>
      </c>
      <c r="B1534" s="635" t="s">
        <v>595</v>
      </c>
      <c r="C1534" s="635" t="s">
        <v>1423</v>
      </c>
      <c r="D1534" s="635"/>
      <c r="E1534" s="635" t="s">
        <v>1533</v>
      </c>
      <c r="F1534" s="465" t="s">
        <v>96</v>
      </c>
      <c r="G1534" s="466">
        <v>3</v>
      </c>
      <c r="H1534" s="466">
        <v>0</v>
      </c>
      <c r="I1534" s="467">
        <v>0</v>
      </c>
      <c r="J1534" s="468">
        <v>0</v>
      </c>
    </row>
    <row r="1535" spans="1:10" ht="12.75" outlineLevel="2">
      <c r="A1535" s="645">
        <v>2141198002</v>
      </c>
      <c r="B1535" s="635" t="s">
        <v>596</v>
      </c>
      <c r="C1535" s="635" t="s">
        <v>1425</v>
      </c>
      <c r="D1535" s="635"/>
      <c r="E1535" s="635" t="s">
        <v>1494</v>
      </c>
      <c r="F1535" s="465" t="s">
        <v>96</v>
      </c>
      <c r="G1535" s="466">
        <v>0</v>
      </c>
      <c r="H1535" s="466">
        <v>0.261</v>
      </c>
      <c r="I1535" s="467">
        <v>0.231</v>
      </c>
      <c r="J1535" s="468">
        <v>0.03</v>
      </c>
    </row>
    <row r="1536" spans="1:10" ht="12.75" outlineLevel="2">
      <c r="A1536" s="645">
        <v>2141198003</v>
      </c>
      <c r="B1536" s="635" t="s">
        <v>597</v>
      </c>
      <c r="C1536" s="635" t="s">
        <v>1425</v>
      </c>
      <c r="D1536" s="635"/>
      <c r="E1536" s="635" t="s">
        <v>1494</v>
      </c>
      <c r="F1536" s="465" t="s">
        <v>96</v>
      </c>
      <c r="G1536" s="466">
        <v>0</v>
      </c>
      <c r="H1536" s="466">
        <v>0.177</v>
      </c>
      <c r="I1536" s="467">
        <v>0.177</v>
      </c>
      <c r="J1536" s="468">
        <v>0</v>
      </c>
    </row>
    <row r="1537" spans="1:10" ht="12.75" outlineLevel="2">
      <c r="A1537" s="645">
        <v>2141198005</v>
      </c>
      <c r="B1537" s="635" t="s">
        <v>598</v>
      </c>
      <c r="C1537" s="635" t="s">
        <v>1423</v>
      </c>
      <c r="D1537" s="635"/>
      <c r="E1537" s="635" t="s">
        <v>1494</v>
      </c>
      <c r="F1537" s="465" t="s">
        <v>96</v>
      </c>
      <c r="G1537" s="466">
        <v>0</v>
      </c>
      <c r="H1537" s="466">
        <v>0.422</v>
      </c>
      <c r="I1537" s="467">
        <v>0.421</v>
      </c>
      <c r="J1537" s="468">
        <v>0</v>
      </c>
    </row>
    <row r="1538" spans="1:10" ht="12.75" outlineLevel="2">
      <c r="A1538" s="645">
        <v>2141198006</v>
      </c>
      <c r="B1538" s="635" t="s">
        <v>599</v>
      </c>
      <c r="C1538" s="635" t="s">
        <v>1423</v>
      </c>
      <c r="D1538" s="635"/>
      <c r="E1538" s="635" t="s">
        <v>1494</v>
      </c>
      <c r="F1538" s="465" t="s">
        <v>96</v>
      </c>
      <c r="G1538" s="466">
        <v>0</v>
      </c>
      <c r="H1538" s="466">
        <v>2.677</v>
      </c>
      <c r="I1538" s="467">
        <v>2.676</v>
      </c>
      <c r="J1538" s="468">
        <v>0</v>
      </c>
    </row>
    <row r="1539" spans="1:10" ht="12.75" outlineLevel="2">
      <c r="A1539" s="645">
        <v>2141198007</v>
      </c>
      <c r="B1539" s="635" t="s">
        <v>600</v>
      </c>
      <c r="C1539" s="635" t="s">
        <v>1428</v>
      </c>
      <c r="D1539" s="635"/>
      <c r="E1539" s="635" t="s">
        <v>1494</v>
      </c>
      <c r="F1539" s="465" t="s">
        <v>96</v>
      </c>
      <c r="G1539" s="466">
        <v>0</v>
      </c>
      <c r="H1539" s="466">
        <v>3.08</v>
      </c>
      <c r="I1539" s="467">
        <v>3.078</v>
      </c>
      <c r="J1539" s="468">
        <v>0</v>
      </c>
    </row>
    <row r="1540" spans="1:10" ht="12.75" outlineLevel="2">
      <c r="A1540" s="645">
        <v>2141198008</v>
      </c>
      <c r="B1540" s="635" t="s">
        <v>601</v>
      </c>
      <c r="C1540" s="635" t="s">
        <v>1422</v>
      </c>
      <c r="D1540" s="635"/>
      <c r="E1540" s="635" t="s">
        <v>1494</v>
      </c>
      <c r="F1540" s="465" t="s">
        <v>96</v>
      </c>
      <c r="G1540" s="466">
        <v>0</v>
      </c>
      <c r="H1540" s="466">
        <v>0.245</v>
      </c>
      <c r="I1540" s="467">
        <v>0.244</v>
      </c>
      <c r="J1540" s="468">
        <v>0</v>
      </c>
    </row>
    <row r="1541" spans="1:10" ht="12.75" outlineLevel="2">
      <c r="A1541" s="645">
        <v>2141198009</v>
      </c>
      <c r="B1541" s="635" t="s">
        <v>602</v>
      </c>
      <c r="C1541" s="635" t="s">
        <v>1422</v>
      </c>
      <c r="D1541" s="635"/>
      <c r="E1541" s="635" t="s">
        <v>1494</v>
      </c>
      <c r="F1541" s="465" t="s">
        <v>96</v>
      </c>
      <c r="G1541" s="466">
        <v>0</v>
      </c>
      <c r="H1541" s="466">
        <v>0.3</v>
      </c>
      <c r="I1541" s="467">
        <v>0.298</v>
      </c>
      <c r="J1541" s="468">
        <v>0</v>
      </c>
    </row>
    <row r="1542" spans="1:10" ht="12.75" outlineLevel="2">
      <c r="A1542" s="645">
        <v>2141198010</v>
      </c>
      <c r="B1542" s="635" t="s">
        <v>603</v>
      </c>
      <c r="C1542" s="635" t="s">
        <v>1422</v>
      </c>
      <c r="D1542" s="635"/>
      <c r="E1542" s="635" t="s">
        <v>1494</v>
      </c>
      <c r="F1542" s="465" t="s">
        <v>96</v>
      </c>
      <c r="G1542" s="466">
        <v>0</v>
      </c>
      <c r="H1542" s="466">
        <v>0.135</v>
      </c>
      <c r="I1542" s="467">
        <v>0.134</v>
      </c>
      <c r="J1542" s="468">
        <v>0</v>
      </c>
    </row>
    <row r="1543" spans="1:10" ht="12.75" outlineLevel="2">
      <c r="A1543" s="645">
        <v>2141198012</v>
      </c>
      <c r="B1543" s="635" t="s">
        <v>604</v>
      </c>
      <c r="C1543" s="635" t="s">
        <v>1420</v>
      </c>
      <c r="D1543" s="635"/>
      <c r="E1543" s="635" t="s">
        <v>1494</v>
      </c>
      <c r="F1543" s="465" t="s">
        <v>96</v>
      </c>
      <c r="G1543" s="466">
        <v>0</v>
      </c>
      <c r="H1543" s="466">
        <v>52</v>
      </c>
      <c r="I1543" s="467">
        <v>0</v>
      </c>
      <c r="J1543" s="468">
        <v>52</v>
      </c>
    </row>
    <row r="1544" spans="1:10" s="479" customFormat="1" ht="12.75" outlineLevel="1">
      <c r="A1544" s="649" t="s">
        <v>605</v>
      </c>
      <c r="B1544" s="639"/>
      <c r="C1544" s="639"/>
      <c r="D1544" s="639"/>
      <c r="E1544" s="639"/>
      <c r="F1544" s="475"/>
      <c r="G1544" s="476">
        <f>SUBTOTAL(9,G611:G1543)</f>
        <v>2676.7370000000005</v>
      </c>
      <c r="H1544" s="476">
        <f>SUBTOTAL(9,H611:H1543)</f>
        <v>3706.616999999997</v>
      </c>
      <c r="I1544" s="477">
        <f>SUBTOTAL(9,I611:I1543)</f>
        <v>3560.871999999998</v>
      </c>
      <c r="J1544" s="478">
        <f>SUBTOTAL(9,J611:J1543)</f>
        <v>494.13899999999956</v>
      </c>
    </row>
    <row r="1545" spans="1:10" ht="12.75" outlineLevel="2">
      <c r="A1545" s="645">
        <v>2142117227</v>
      </c>
      <c r="B1545" s="635" t="s">
        <v>606</v>
      </c>
      <c r="C1545" s="635" t="s">
        <v>1777</v>
      </c>
      <c r="D1545" s="635"/>
      <c r="E1545" s="635" t="s">
        <v>1494</v>
      </c>
      <c r="F1545" s="465" t="s">
        <v>1845</v>
      </c>
      <c r="G1545" s="466">
        <v>80</v>
      </c>
      <c r="H1545" s="466">
        <v>80</v>
      </c>
      <c r="I1545" s="467">
        <v>79.975</v>
      </c>
      <c r="J1545" s="468">
        <v>0.025</v>
      </c>
    </row>
    <row r="1546" spans="1:10" ht="12.75" outlineLevel="2">
      <c r="A1546" s="645">
        <v>2142118001</v>
      </c>
      <c r="B1546" s="635" t="s">
        <v>607</v>
      </c>
      <c r="C1546" s="635" t="s">
        <v>1777</v>
      </c>
      <c r="D1546" s="635"/>
      <c r="E1546" s="635" t="s">
        <v>1494</v>
      </c>
      <c r="F1546" s="465" t="s">
        <v>1845</v>
      </c>
      <c r="G1546" s="466">
        <v>3.5</v>
      </c>
      <c r="H1546" s="466">
        <v>11.25</v>
      </c>
      <c r="I1546" s="467">
        <v>11.206</v>
      </c>
      <c r="J1546" s="468">
        <v>0.044</v>
      </c>
    </row>
    <row r="1547" spans="1:10" ht="12.75" outlineLevel="2">
      <c r="A1547" s="645">
        <v>2142118002</v>
      </c>
      <c r="B1547" s="635" t="s">
        <v>608</v>
      </c>
      <c r="C1547" s="635" t="s">
        <v>1777</v>
      </c>
      <c r="D1547" s="635"/>
      <c r="E1547" s="635" t="s">
        <v>1494</v>
      </c>
      <c r="F1547" s="465" t="s">
        <v>1845</v>
      </c>
      <c r="G1547" s="466">
        <v>55</v>
      </c>
      <c r="H1547" s="466">
        <v>44.175</v>
      </c>
      <c r="I1547" s="467">
        <v>44.063</v>
      </c>
      <c r="J1547" s="468">
        <v>0.112</v>
      </c>
    </row>
    <row r="1548" spans="1:10" ht="12.75" outlineLevel="2">
      <c r="A1548" s="645">
        <v>2142118003</v>
      </c>
      <c r="B1548" s="635" t="s">
        <v>609</v>
      </c>
      <c r="C1548" s="635" t="s">
        <v>1777</v>
      </c>
      <c r="D1548" s="635"/>
      <c r="E1548" s="635" t="s">
        <v>1494</v>
      </c>
      <c r="F1548" s="465" t="s">
        <v>1845</v>
      </c>
      <c r="G1548" s="466">
        <v>1.25</v>
      </c>
      <c r="H1548" s="466">
        <v>1.181</v>
      </c>
      <c r="I1548" s="467">
        <v>1.18</v>
      </c>
      <c r="J1548" s="468">
        <v>0.001</v>
      </c>
    </row>
    <row r="1549" spans="1:10" ht="12.75" outlineLevel="2">
      <c r="A1549" s="645">
        <v>2142118004</v>
      </c>
      <c r="B1549" s="635" t="s">
        <v>610</v>
      </c>
      <c r="C1549" s="635" t="s">
        <v>1777</v>
      </c>
      <c r="D1549" s="635"/>
      <c r="E1549" s="635" t="s">
        <v>1494</v>
      </c>
      <c r="F1549" s="465" t="s">
        <v>1845</v>
      </c>
      <c r="G1549" s="466">
        <v>2</v>
      </c>
      <c r="H1549" s="466">
        <v>2.175</v>
      </c>
      <c r="I1549" s="467">
        <v>2.171</v>
      </c>
      <c r="J1549" s="468">
        <v>0.004</v>
      </c>
    </row>
    <row r="1550" spans="1:10" ht="12.75" outlineLevel="2">
      <c r="A1550" s="645">
        <v>2142118005</v>
      </c>
      <c r="B1550" s="635" t="s">
        <v>611</v>
      </c>
      <c r="C1550" s="635" t="s">
        <v>1777</v>
      </c>
      <c r="D1550" s="635"/>
      <c r="E1550" s="635" t="s">
        <v>1494</v>
      </c>
      <c r="F1550" s="465" t="s">
        <v>1845</v>
      </c>
      <c r="G1550" s="466">
        <v>4.5</v>
      </c>
      <c r="H1550" s="466">
        <v>5.481</v>
      </c>
      <c r="I1550" s="467">
        <v>5.48</v>
      </c>
      <c r="J1550" s="468">
        <v>0.001</v>
      </c>
    </row>
    <row r="1551" spans="1:10" ht="12.75" outlineLevel="2">
      <c r="A1551" s="645">
        <v>2142118006</v>
      </c>
      <c r="B1551" s="635" t="s">
        <v>612</v>
      </c>
      <c r="C1551" s="635" t="s">
        <v>1777</v>
      </c>
      <c r="D1551" s="635"/>
      <c r="E1551" s="635" t="s">
        <v>1494</v>
      </c>
      <c r="F1551" s="465" t="s">
        <v>1845</v>
      </c>
      <c r="G1551" s="466">
        <v>0.85</v>
      </c>
      <c r="H1551" s="466">
        <v>0.85</v>
      </c>
      <c r="I1551" s="467">
        <v>0.844</v>
      </c>
      <c r="J1551" s="468">
        <v>0.006</v>
      </c>
    </row>
    <row r="1552" spans="1:10" ht="12.75" outlineLevel="2">
      <c r="A1552" s="645">
        <v>2142118007</v>
      </c>
      <c r="B1552" s="635" t="s">
        <v>613</v>
      </c>
      <c r="C1552" s="635" t="s">
        <v>1777</v>
      </c>
      <c r="D1552" s="635"/>
      <c r="E1552" s="635" t="s">
        <v>1533</v>
      </c>
      <c r="F1552" s="465" t="s">
        <v>96</v>
      </c>
      <c r="G1552" s="466">
        <v>0.13</v>
      </c>
      <c r="H1552" s="466">
        <v>0</v>
      </c>
      <c r="I1552" s="467">
        <v>0</v>
      </c>
      <c r="J1552" s="468">
        <v>0</v>
      </c>
    </row>
    <row r="1553" spans="1:10" ht="12.75" outlineLevel="2">
      <c r="A1553" s="645">
        <v>2142118008</v>
      </c>
      <c r="B1553" s="635" t="s">
        <v>614</v>
      </c>
      <c r="C1553" s="635" t="s">
        <v>1777</v>
      </c>
      <c r="D1553" s="635"/>
      <c r="E1553" s="635" t="s">
        <v>1494</v>
      </c>
      <c r="F1553" s="465" t="s">
        <v>96</v>
      </c>
      <c r="G1553" s="466">
        <v>2</v>
      </c>
      <c r="H1553" s="466">
        <v>2.351</v>
      </c>
      <c r="I1553" s="467">
        <v>2.35</v>
      </c>
      <c r="J1553" s="468">
        <v>0.001</v>
      </c>
    </row>
    <row r="1554" spans="1:10" ht="12.75" outlineLevel="2">
      <c r="A1554" s="645">
        <v>2142118009</v>
      </c>
      <c r="B1554" s="635" t="s">
        <v>615</v>
      </c>
      <c r="C1554" s="635" t="s">
        <v>1777</v>
      </c>
      <c r="D1554" s="635"/>
      <c r="E1554" s="635" t="s">
        <v>1533</v>
      </c>
      <c r="F1554" s="465" t="s">
        <v>96</v>
      </c>
      <c r="G1554" s="466">
        <v>0.6</v>
      </c>
      <c r="H1554" s="466">
        <v>0</v>
      </c>
      <c r="I1554" s="467">
        <v>0</v>
      </c>
      <c r="J1554" s="468">
        <v>0</v>
      </c>
    </row>
    <row r="1555" spans="1:10" ht="12.75" outlineLevel="2">
      <c r="A1555" s="645">
        <v>2142118010</v>
      </c>
      <c r="B1555" s="635" t="s">
        <v>616</v>
      </c>
      <c r="C1555" s="635" t="s">
        <v>1777</v>
      </c>
      <c r="D1555" s="635"/>
      <c r="E1555" s="635" t="s">
        <v>1533</v>
      </c>
      <c r="F1555" s="465" t="s">
        <v>96</v>
      </c>
      <c r="G1555" s="466">
        <v>0.7</v>
      </c>
      <c r="H1555" s="466">
        <v>0</v>
      </c>
      <c r="I1555" s="467">
        <v>0</v>
      </c>
      <c r="J1555" s="468">
        <v>0</v>
      </c>
    </row>
    <row r="1556" spans="1:10" ht="12.75" outlineLevel="2">
      <c r="A1556" s="645">
        <v>2142118011</v>
      </c>
      <c r="B1556" s="635" t="s">
        <v>617</v>
      </c>
      <c r="C1556" s="635" t="s">
        <v>1777</v>
      </c>
      <c r="D1556" s="635"/>
      <c r="E1556" s="635" t="s">
        <v>1533</v>
      </c>
      <c r="F1556" s="465" t="s">
        <v>96</v>
      </c>
      <c r="G1556" s="466">
        <v>0.5</v>
      </c>
      <c r="H1556" s="466">
        <v>0</v>
      </c>
      <c r="I1556" s="467">
        <v>0</v>
      </c>
      <c r="J1556" s="468">
        <v>0</v>
      </c>
    </row>
    <row r="1557" spans="1:10" ht="12.75" outlineLevel="2">
      <c r="A1557" s="645">
        <v>2142118012</v>
      </c>
      <c r="B1557" s="635" t="s">
        <v>618</v>
      </c>
      <c r="C1557" s="635" t="s">
        <v>1777</v>
      </c>
      <c r="D1557" s="635"/>
      <c r="E1557" s="635" t="s">
        <v>1494</v>
      </c>
      <c r="F1557" s="465" t="s">
        <v>96</v>
      </c>
      <c r="G1557" s="466">
        <v>2.5</v>
      </c>
      <c r="H1557" s="466">
        <v>2.452</v>
      </c>
      <c r="I1557" s="467">
        <v>2.452</v>
      </c>
      <c r="J1557" s="468">
        <v>0</v>
      </c>
    </row>
    <row r="1558" spans="1:10" ht="12.75" outlineLevel="2">
      <c r="A1558" s="645">
        <v>2142118013</v>
      </c>
      <c r="B1558" s="635" t="s">
        <v>619</v>
      </c>
      <c r="C1558" s="635" t="s">
        <v>1777</v>
      </c>
      <c r="D1558" s="635"/>
      <c r="E1558" s="635" t="s">
        <v>1533</v>
      </c>
      <c r="F1558" s="465" t="s">
        <v>96</v>
      </c>
      <c r="G1558" s="466">
        <v>0.5</v>
      </c>
      <c r="H1558" s="466">
        <v>0</v>
      </c>
      <c r="I1558" s="467">
        <v>0</v>
      </c>
      <c r="J1558" s="468">
        <v>0</v>
      </c>
    </row>
    <row r="1559" spans="1:10" ht="12.75" outlineLevel="2">
      <c r="A1559" s="645">
        <v>2142118014</v>
      </c>
      <c r="B1559" s="635" t="s">
        <v>620</v>
      </c>
      <c r="C1559" s="635" t="s">
        <v>1777</v>
      </c>
      <c r="D1559" s="635"/>
      <c r="E1559" s="635" t="s">
        <v>1494</v>
      </c>
      <c r="F1559" s="465" t="s">
        <v>96</v>
      </c>
      <c r="G1559" s="466">
        <v>1.1</v>
      </c>
      <c r="H1559" s="466">
        <v>1.45</v>
      </c>
      <c r="I1559" s="467">
        <v>1.449</v>
      </c>
      <c r="J1559" s="468">
        <v>0.001</v>
      </c>
    </row>
    <row r="1560" spans="1:10" ht="12.75" outlineLevel="2">
      <c r="A1560" s="645">
        <v>2142118015</v>
      </c>
      <c r="B1560" s="635" t="s">
        <v>1394</v>
      </c>
      <c r="C1560" s="635" t="s">
        <v>1777</v>
      </c>
      <c r="D1560" s="635"/>
      <c r="E1560" s="635" t="s">
        <v>1533</v>
      </c>
      <c r="F1560" s="465" t="s">
        <v>96</v>
      </c>
      <c r="G1560" s="466">
        <v>1</v>
      </c>
      <c r="H1560" s="466">
        <v>0</v>
      </c>
      <c r="I1560" s="467">
        <v>0</v>
      </c>
      <c r="J1560" s="468">
        <v>0</v>
      </c>
    </row>
    <row r="1561" spans="1:10" ht="12.75" outlineLevel="2">
      <c r="A1561" s="645">
        <v>2142118016</v>
      </c>
      <c r="B1561" s="635" t="s">
        <v>1395</v>
      </c>
      <c r="C1561" s="635" t="s">
        <v>1777</v>
      </c>
      <c r="D1561" s="635"/>
      <c r="E1561" s="635" t="s">
        <v>1494</v>
      </c>
      <c r="F1561" s="465" t="s">
        <v>96</v>
      </c>
      <c r="G1561" s="466">
        <v>8.75</v>
      </c>
      <c r="H1561" s="466">
        <v>1.5</v>
      </c>
      <c r="I1561" s="467">
        <v>1.499</v>
      </c>
      <c r="J1561" s="468">
        <v>0.001</v>
      </c>
    </row>
    <row r="1562" spans="1:10" ht="12.75" outlineLevel="2">
      <c r="A1562" s="645">
        <v>2142118017</v>
      </c>
      <c r="B1562" s="635" t="s">
        <v>1396</v>
      </c>
      <c r="C1562" s="635" t="s">
        <v>1777</v>
      </c>
      <c r="D1562" s="635"/>
      <c r="E1562" s="635" t="s">
        <v>1533</v>
      </c>
      <c r="F1562" s="465" t="s">
        <v>96</v>
      </c>
      <c r="G1562" s="466">
        <v>8.324</v>
      </c>
      <c r="H1562" s="466">
        <v>0.019</v>
      </c>
      <c r="I1562" s="467">
        <v>0</v>
      </c>
      <c r="J1562" s="468">
        <v>0.019</v>
      </c>
    </row>
    <row r="1563" spans="1:10" ht="12.75" outlineLevel="2">
      <c r="A1563" s="645">
        <v>2142118018</v>
      </c>
      <c r="B1563" s="635" t="s">
        <v>1397</v>
      </c>
      <c r="C1563" s="635" t="s">
        <v>1777</v>
      </c>
      <c r="D1563" s="635"/>
      <c r="E1563" s="635" t="s">
        <v>1533</v>
      </c>
      <c r="F1563" s="465" t="s">
        <v>96</v>
      </c>
      <c r="G1563" s="466">
        <v>1.5</v>
      </c>
      <c r="H1563" s="466">
        <v>0</v>
      </c>
      <c r="I1563" s="467">
        <v>0</v>
      </c>
      <c r="J1563" s="468">
        <v>0</v>
      </c>
    </row>
    <row r="1564" spans="1:10" ht="12.75" outlineLevel="2">
      <c r="A1564" s="645">
        <v>2142118019</v>
      </c>
      <c r="B1564" s="635" t="s">
        <v>1398</v>
      </c>
      <c r="C1564" s="635" t="s">
        <v>1777</v>
      </c>
      <c r="D1564" s="635"/>
      <c r="E1564" s="635" t="s">
        <v>1533</v>
      </c>
      <c r="F1564" s="465" t="s">
        <v>96</v>
      </c>
      <c r="G1564" s="466">
        <v>1</v>
      </c>
      <c r="H1564" s="466">
        <v>0</v>
      </c>
      <c r="I1564" s="467">
        <v>0</v>
      </c>
      <c r="J1564" s="468">
        <v>0</v>
      </c>
    </row>
    <row r="1565" spans="1:10" ht="12.75" outlineLevel="2">
      <c r="A1565" s="645">
        <v>2142118020</v>
      </c>
      <c r="B1565" s="635" t="s">
        <v>1399</v>
      </c>
      <c r="C1565" s="635" t="s">
        <v>1777</v>
      </c>
      <c r="D1565" s="635"/>
      <c r="E1565" s="635" t="s">
        <v>1494</v>
      </c>
      <c r="F1565" s="465" t="s">
        <v>96</v>
      </c>
      <c r="G1565" s="466">
        <v>0.18</v>
      </c>
      <c r="H1565" s="466">
        <v>0.262</v>
      </c>
      <c r="I1565" s="467">
        <v>0.262</v>
      </c>
      <c r="J1565" s="468">
        <v>0</v>
      </c>
    </row>
    <row r="1566" spans="1:10" ht="12.75" outlineLevel="2">
      <c r="A1566" s="645">
        <v>2142118021</v>
      </c>
      <c r="B1566" s="635" t="s">
        <v>1400</v>
      </c>
      <c r="C1566" s="635" t="s">
        <v>1777</v>
      </c>
      <c r="D1566" s="635"/>
      <c r="E1566" s="635" t="s">
        <v>1533</v>
      </c>
      <c r="F1566" s="465" t="s">
        <v>96</v>
      </c>
      <c r="G1566" s="466">
        <v>0.25</v>
      </c>
      <c r="H1566" s="466">
        <v>0</v>
      </c>
      <c r="I1566" s="467">
        <v>0</v>
      </c>
      <c r="J1566" s="468">
        <v>0</v>
      </c>
    </row>
    <row r="1567" spans="1:10" ht="12.75" outlineLevel="2">
      <c r="A1567" s="645">
        <v>2142118022</v>
      </c>
      <c r="B1567" s="635" t="s">
        <v>1401</v>
      </c>
      <c r="C1567" s="635" t="s">
        <v>1777</v>
      </c>
      <c r="D1567" s="635"/>
      <c r="E1567" s="635" t="s">
        <v>1494</v>
      </c>
      <c r="F1567" s="465" t="s">
        <v>96</v>
      </c>
      <c r="G1567" s="466">
        <v>0.8</v>
      </c>
      <c r="H1567" s="466">
        <v>0.793</v>
      </c>
      <c r="I1567" s="467">
        <v>0.792</v>
      </c>
      <c r="J1567" s="468">
        <v>0.001</v>
      </c>
    </row>
    <row r="1568" spans="1:10" ht="12.75" outlineLevel="2">
      <c r="A1568" s="645">
        <v>2142118023</v>
      </c>
      <c r="B1568" s="635" t="s">
        <v>1402</v>
      </c>
      <c r="C1568" s="635" t="s">
        <v>1777</v>
      </c>
      <c r="D1568" s="635"/>
      <c r="E1568" s="635" t="s">
        <v>1494</v>
      </c>
      <c r="F1568" s="465" t="s">
        <v>1845</v>
      </c>
      <c r="G1568" s="466">
        <v>0</v>
      </c>
      <c r="H1568" s="466">
        <v>0.107</v>
      </c>
      <c r="I1568" s="467">
        <v>0.106</v>
      </c>
      <c r="J1568" s="468">
        <v>0.001</v>
      </c>
    </row>
    <row r="1569" spans="1:10" ht="12.75" outlineLevel="2">
      <c r="A1569" s="645">
        <v>2142118023</v>
      </c>
      <c r="B1569" s="635" t="s">
        <v>1402</v>
      </c>
      <c r="C1569" s="635" t="s">
        <v>1777</v>
      </c>
      <c r="D1569" s="635"/>
      <c r="E1569" s="635" t="s">
        <v>1494</v>
      </c>
      <c r="F1569" s="465" t="s">
        <v>96</v>
      </c>
      <c r="G1569" s="466">
        <v>1.5</v>
      </c>
      <c r="H1569" s="466">
        <v>1.54</v>
      </c>
      <c r="I1569" s="467">
        <v>1.538</v>
      </c>
      <c r="J1569" s="468">
        <v>0.002</v>
      </c>
    </row>
    <row r="1570" spans="1:10" ht="12.75" outlineLevel="2">
      <c r="A1570" s="645">
        <v>2142118024</v>
      </c>
      <c r="B1570" s="635" t="s">
        <v>1403</v>
      </c>
      <c r="C1570" s="635" t="s">
        <v>1777</v>
      </c>
      <c r="D1570" s="635"/>
      <c r="E1570" s="635" t="s">
        <v>1533</v>
      </c>
      <c r="F1570" s="465" t="s">
        <v>96</v>
      </c>
      <c r="G1570" s="466">
        <v>0.18</v>
      </c>
      <c r="H1570" s="466">
        <v>0</v>
      </c>
      <c r="I1570" s="467">
        <v>0</v>
      </c>
      <c r="J1570" s="468">
        <v>0</v>
      </c>
    </row>
    <row r="1571" spans="1:10" ht="12.75" outlineLevel="2">
      <c r="A1571" s="645">
        <v>2142118025</v>
      </c>
      <c r="B1571" s="635" t="s">
        <v>1404</v>
      </c>
      <c r="C1571" s="635" t="s">
        <v>1777</v>
      </c>
      <c r="D1571" s="635"/>
      <c r="E1571" s="635" t="s">
        <v>1533</v>
      </c>
      <c r="F1571" s="465" t="s">
        <v>96</v>
      </c>
      <c r="G1571" s="466">
        <v>1.5</v>
      </c>
      <c r="H1571" s="466">
        <v>0</v>
      </c>
      <c r="I1571" s="467">
        <v>0</v>
      </c>
      <c r="J1571" s="468">
        <v>0</v>
      </c>
    </row>
    <row r="1572" spans="1:10" ht="12.75" outlineLevel="2">
      <c r="A1572" s="645">
        <v>2142118026</v>
      </c>
      <c r="B1572" s="635" t="s">
        <v>1405</v>
      </c>
      <c r="C1572" s="635" t="s">
        <v>1777</v>
      </c>
      <c r="D1572" s="635"/>
      <c r="E1572" s="635" t="s">
        <v>1533</v>
      </c>
      <c r="F1572" s="465" t="s">
        <v>96</v>
      </c>
      <c r="G1572" s="466">
        <v>0.5</v>
      </c>
      <c r="H1572" s="466">
        <v>0</v>
      </c>
      <c r="I1572" s="467">
        <v>0</v>
      </c>
      <c r="J1572" s="468">
        <v>0</v>
      </c>
    </row>
    <row r="1573" spans="1:10" ht="12.75" outlineLevel="2">
      <c r="A1573" s="645">
        <v>2142118027</v>
      </c>
      <c r="B1573" s="635" t="s">
        <v>1406</v>
      </c>
      <c r="C1573" s="635" t="s">
        <v>1777</v>
      </c>
      <c r="D1573" s="635"/>
      <c r="E1573" s="635" t="s">
        <v>1533</v>
      </c>
      <c r="F1573" s="465" t="s">
        <v>96</v>
      </c>
      <c r="G1573" s="466">
        <v>0.041</v>
      </c>
      <c r="H1573" s="466">
        <v>0</v>
      </c>
      <c r="I1573" s="467">
        <v>0</v>
      </c>
      <c r="J1573" s="468">
        <v>0</v>
      </c>
    </row>
    <row r="1574" spans="1:10" ht="12.75" outlineLevel="2">
      <c r="A1574" s="645">
        <v>2142118028</v>
      </c>
      <c r="B1574" s="635" t="s">
        <v>1407</v>
      </c>
      <c r="C1574" s="635" t="s">
        <v>1777</v>
      </c>
      <c r="D1574" s="635"/>
      <c r="E1574" s="635" t="s">
        <v>1533</v>
      </c>
      <c r="F1574" s="465" t="s">
        <v>96</v>
      </c>
      <c r="G1574" s="466">
        <v>0.9</v>
      </c>
      <c r="H1574" s="466">
        <v>0</v>
      </c>
      <c r="I1574" s="467">
        <v>0</v>
      </c>
      <c r="J1574" s="468">
        <v>0</v>
      </c>
    </row>
    <row r="1575" spans="1:10" ht="12.75" outlineLevel="2">
      <c r="A1575" s="645">
        <v>2142118029</v>
      </c>
      <c r="B1575" s="635" t="s">
        <v>1408</v>
      </c>
      <c r="C1575" s="635" t="s">
        <v>1777</v>
      </c>
      <c r="D1575" s="635"/>
      <c r="E1575" s="635" t="s">
        <v>1494</v>
      </c>
      <c r="F1575" s="465" t="s">
        <v>96</v>
      </c>
      <c r="G1575" s="466">
        <v>0.2</v>
      </c>
      <c r="H1575" s="466">
        <v>0.2</v>
      </c>
      <c r="I1575" s="467">
        <v>0.199</v>
      </c>
      <c r="J1575" s="468">
        <v>0.001</v>
      </c>
    </row>
    <row r="1576" spans="1:10" ht="12.75" outlineLevel="2">
      <c r="A1576" s="645">
        <v>2142118030</v>
      </c>
      <c r="B1576" s="635" t="s">
        <v>634</v>
      </c>
      <c r="C1576" s="635" t="s">
        <v>1777</v>
      </c>
      <c r="D1576" s="635"/>
      <c r="E1576" s="635" t="s">
        <v>1494</v>
      </c>
      <c r="F1576" s="465" t="s">
        <v>1845</v>
      </c>
      <c r="G1576" s="466">
        <v>0</v>
      </c>
      <c r="H1576" s="466">
        <v>0.026</v>
      </c>
      <c r="I1576" s="467">
        <v>0</v>
      </c>
      <c r="J1576" s="468">
        <v>0.026</v>
      </c>
    </row>
    <row r="1577" spans="1:10" ht="12.75" outlineLevel="2">
      <c r="A1577" s="645">
        <v>2142118030</v>
      </c>
      <c r="B1577" s="635" t="s">
        <v>634</v>
      </c>
      <c r="C1577" s="635" t="s">
        <v>1777</v>
      </c>
      <c r="D1577" s="635"/>
      <c r="E1577" s="635" t="s">
        <v>1494</v>
      </c>
      <c r="F1577" s="465" t="s">
        <v>96</v>
      </c>
      <c r="G1577" s="466">
        <v>0.15</v>
      </c>
      <c r="H1577" s="466">
        <v>0.124</v>
      </c>
      <c r="I1577" s="467">
        <v>0</v>
      </c>
      <c r="J1577" s="468">
        <v>0.124</v>
      </c>
    </row>
    <row r="1578" spans="1:10" ht="12.75" outlineLevel="2">
      <c r="A1578" s="645">
        <v>2142118031</v>
      </c>
      <c r="B1578" s="635" t="s">
        <v>635</v>
      </c>
      <c r="C1578" s="635" t="s">
        <v>1777</v>
      </c>
      <c r="D1578" s="635"/>
      <c r="E1578" s="635" t="s">
        <v>1494</v>
      </c>
      <c r="F1578" s="465" t="s">
        <v>96</v>
      </c>
      <c r="G1578" s="466">
        <v>0.24</v>
      </c>
      <c r="H1578" s="466">
        <v>0.24</v>
      </c>
      <c r="I1578" s="467">
        <v>0.24</v>
      </c>
      <c r="J1578" s="468">
        <v>0</v>
      </c>
    </row>
    <row r="1579" spans="1:10" ht="12.75" outlineLevel="2">
      <c r="A1579" s="645">
        <v>2142118032</v>
      </c>
      <c r="B1579" s="635" t="s">
        <v>636</v>
      </c>
      <c r="C1579" s="635" t="s">
        <v>1777</v>
      </c>
      <c r="D1579" s="635"/>
      <c r="E1579" s="635" t="s">
        <v>1494</v>
      </c>
      <c r="F1579" s="465" t="s">
        <v>96</v>
      </c>
      <c r="G1579" s="466">
        <v>0.07</v>
      </c>
      <c r="H1579" s="466">
        <v>0.07</v>
      </c>
      <c r="I1579" s="467">
        <v>0.069</v>
      </c>
      <c r="J1579" s="468">
        <v>0.001</v>
      </c>
    </row>
    <row r="1580" spans="1:10" ht="12.75" outlineLevel="2">
      <c r="A1580" s="645">
        <v>2142118033</v>
      </c>
      <c r="B1580" s="635" t="s">
        <v>637</v>
      </c>
      <c r="C1580" s="635" t="s">
        <v>1777</v>
      </c>
      <c r="D1580" s="635"/>
      <c r="E1580" s="635" t="s">
        <v>1494</v>
      </c>
      <c r="F1580" s="465" t="s">
        <v>1845</v>
      </c>
      <c r="G1580" s="466">
        <v>0</v>
      </c>
      <c r="H1580" s="466">
        <v>0.034</v>
      </c>
      <c r="I1580" s="467">
        <v>0.034</v>
      </c>
      <c r="J1580" s="468">
        <v>0</v>
      </c>
    </row>
    <row r="1581" spans="1:10" ht="12.75" outlineLevel="2">
      <c r="A1581" s="645">
        <v>2142118033</v>
      </c>
      <c r="B1581" s="635" t="s">
        <v>637</v>
      </c>
      <c r="C1581" s="635" t="s">
        <v>1777</v>
      </c>
      <c r="D1581" s="635"/>
      <c r="E1581" s="635" t="s">
        <v>1494</v>
      </c>
      <c r="F1581" s="465" t="s">
        <v>96</v>
      </c>
      <c r="G1581" s="466">
        <v>0.26</v>
      </c>
      <c r="H1581" s="466">
        <v>0.208</v>
      </c>
      <c r="I1581" s="467">
        <v>0.208</v>
      </c>
      <c r="J1581" s="468">
        <v>0</v>
      </c>
    </row>
    <row r="1582" spans="1:10" ht="12.75" outlineLevel="2">
      <c r="A1582" s="645">
        <v>2142118035</v>
      </c>
      <c r="B1582" s="635" t="s">
        <v>638</v>
      </c>
      <c r="C1582" s="635" t="s">
        <v>1777</v>
      </c>
      <c r="D1582" s="635"/>
      <c r="E1582" s="635" t="s">
        <v>1494</v>
      </c>
      <c r="F1582" s="465" t="s">
        <v>96</v>
      </c>
      <c r="G1582" s="466">
        <v>0.12</v>
      </c>
      <c r="H1582" s="466">
        <v>0.094</v>
      </c>
      <c r="I1582" s="467">
        <v>0.094</v>
      </c>
      <c r="J1582" s="468">
        <v>0</v>
      </c>
    </row>
    <row r="1583" spans="1:10" ht="12.75" outlineLevel="2">
      <c r="A1583" s="645">
        <v>2142118036</v>
      </c>
      <c r="B1583" s="635" t="s">
        <v>639</v>
      </c>
      <c r="C1583" s="635" t="s">
        <v>1777</v>
      </c>
      <c r="D1583" s="635"/>
      <c r="E1583" s="635" t="s">
        <v>1533</v>
      </c>
      <c r="F1583" s="465" t="s">
        <v>96</v>
      </c>
      <c r="G1583" s="466">
        <v>0.6</v>
      </c>
      <c r="H1583" s="466">
        <v>0</v>
      </c>
      <c r="I1583" s="467">
        <v>0</v>
      </c>
      <c r="J1583" s="468">
        <v>0</v>
      </c>
    </row>
    <row r="1584" spans="1:10" ht="12.75" outlineLevel="2">
      <c r="A1584" s="645">
        <v>2142118037</v>
      </c>
      <c r="B1584" s="635" t="s">
        <v>640</v>
      </c>
      <c r="C1584" s="635" t="s">
        <v>1777</v>
      </c>
      <c r="D1584" s="635"/>
      <c r="E1584" s="635" t="s">
        <v>1494</v>
      </c>
      <c r="F1584" s="465" t="s">
        <v>96</v>
      </c>
      <c r="G1584" s="466">
        <v>0.065</v>
      </c>
      <c r="H1584" s="466">
        <v>0.065</v>
      </c>
      <c r="I1584" s="467">
        <v>0.065</v>
      </c>
      <c r="J1584" s="468">
        <v>0</v>
      </c>
    </row>
    <row r="1585" spans="1:10" ht="12.75" outlineLevel="2">
      <c r="A1585" s="645">
        <v>2142118038</v>
      </c>
      <c r="B1585" s="635" t="s">
        <v>641</v>
      </c>
      <c r="C1585" s="635" t="s">
        <v>1777</v>
      </c>
      <c r="D1585" s="635"/>
      <c r="E1585" s="635" t="s">
        <v>1533</v>
      </c>
      <c r="F1585" s="465" t="s">
        <v>96</v>
      </c>
      <c r="G1585" s="466">
        <v>1.125</v>
      </c>
      <c r="H1585" s="466">
        <v>0</v>
      </c>
      <c r="I1585" s="467">
        <v>0</v>
      </c>
      <c r="J1585" s="468">
        <v>0</v>
      </c>
    </row>
    <row r="1586" spans="1:10" ht="12.75" outlineLevel="2">
      <c r="A1586" s="645">
        <v>2142118039</v>
      </c>
      <c r="B1586" s="635" t="s">
        <v>642</v>
      </c>
      <c r="C1586" s="635" t="s">
        <v>1777</v>
      </c>
      <c r="D1586" s="635"/>
      <c r="E1586" s="635" t="s">
        <v>1494</v>
      </c>
      <c r="F1586" s="465" t="s">
        <v>96</v>
      </c>
      <c r="G1586" s="466">
        <v>0.2</v>
      </c>
      <c r="H1586" s="466">
        <v>0.19</v>
      </c>
      <c r="I1586" s="467">
        <v>0.189</v>
      </c>
      <c r="J1586" s="468">
        <v>0.001</v>
      </c>
    </row>
    <row r="1587" spans="1:10" ht="12.75" outlineLevel="2">
      <c r="A1587" s="645">
        <v>2142118040</v>
      </c>
      <c r="B1587" s="635" t="s">
        <v>643</v>
      </c>
      <c r="C1587" s="635" t="s">
        <v>1777</v>
      </c>
      <c r="D1587" s="635"/>
      <c r="E1587" s="635" t="s">
        <v>1494</v>
      </c>
      <c r="F1587" s="465" t="s">
        <v>96</v>
      </c>
      <c r="G1587" s="466">
        <v>1.5</v>
      </c>
      <c r="H1587" s="466">
        <v>2.191</v>
      </c>
      <c r="I1587" s="467">
        <v>2.19</v>
      </c>
      <c r="J1587" s="468">
        <v>0.001</v>
      </c>
    </row>
    <row r="1588" spans="1:10" ht="12.75" outlineLevel="2">
      <c r="A1588" s="645">
        <v>2142118041</v>
      </c>
      <c r="B1588" s="635" t="s">
        <v>644</v>
      </c>
      <c r="C1588" s="635" t="s">
        <v>1777</v>
      </c>
      <c r="D1588" s="635"/>
      <c r="E1588" s="635" t="s">
        <v>1494</v>
      </c>
      <c r="F1588" s="465" t="s">
        <v>96</v>
      </c>
      <c r="G1588" s="466">
        <v>0.14</v>
      </c>
      <c r="H1588" s="466">
        <v>0.14</v>
      </c>
      <c r="I1588" s="467">
        <v>0.14</v>
      </c>
      <c r="J1588" s="468">
        <v>0</v>
      </c>
    </row>
    <row r="1589" spans="1:10" ht="12.75" outlineLevel="2">
      <c r="A1589" s="645">
        <v>2142118042</v>
      </c>
      <c r="B1589" s="635" t="s">
        <v>645</v>
      </c>
      <c r="C1589" s="635" t="s">
        <v>1777</v>
      </c>
      <c r="D1589" s="635"/>
      <c r="E1589" s="635" t="s">
        <v>1494</v>
      </c>
      <c r="F1589" s="465" t="s">
        <v>96</v>
      </c>
      <c r="G1589" s="466">
        <v>0.15</v>
      </c>
      <c r="H1589" s="466">
        <v>0.218</v>
      </c>
      <c r="I1589" s="467">
        <v>0.217</v>
      </c>
      <c r="J1589" s="468">
        <v>0.001</v>
      </c>
    </row>
    <row r="1590" spans="1:10" ht="12.75" outlineLevel="2">
      <c r="A1590" s="645">
        <v>2142118043</v>
      </c>
      <c r="B1590" s="635" t="s">
        <v>646</v>
      </c>
      <c r="C1590" s="635" t="s">
        <v>1777</v>
      </c>
      <c r="D1590" s="635"/>
      <c r="E1590" s="635" t="s">
        <v>1533</v>
      </c>
      <c r="F1590" s="465" t="s">
        <v>96</v>
      </c>
      <c r="G1590" s="466">
        <v>1</v>
      </c>
      <c r="H1590" s="466">
        <v>0</v>
      </c>
      <c r="I1590" s="467">
        <v>0</v>
      </c>
      <c r="J1590" s="468">
        <v>0</v>
      </c>
    </row>
    <row r="1591" spans="1:10" ht="12.75" outlineLevel="2">
      <c r="A1591" s="645">
        <v>2142118044</v>
      </c>
      <c r="B1591" s="635" t="s">
        <v>647</v>
      </c>
      <c r="C1591" s="635" t="s">
        <v>1777</v>
      </c>
      <c r="D1591" s="635"/>
      <c r="E1591" s="635" t="s">
        <v>1494</v>
      </c>
      <c r="F1591" s="465" t="s">
        <v>96</v>
      </c>
      <c r="G1591" s="466">
        <v>0.15</v>
      </c>
      <c r="H1591" s="466">
        <v>0.13</v>
      </c>
      <c r="I1591" s="467">
        <v>0.13</v>
      </c>
      <c r="J1591" s="468">
        <v>0</v>
      </c>
    </row>
    <row r="1592" spans="1:10" ht="12.75" outlineLevel="2">
      <c r="A1592" s="645">
        <v>2142118045</v>
      </c>
      <c r="B1592" s="635" t="s">
        <v>648</v>
      </c>
      <c r="C1592" s="635" t="s">
        <v>1802</v>
      </c>
      <c r="D1592" s="635"/>
      <c r="E1592" s="635" t="s">
        <v>1533</v>
      </c>
      <c r="F1592" s="465" t="s">
        <v>96</v>
      </c>
      <c r="G1592" s="466">
        <v>1.2</v>
      </c>
      <c r="H1592" s="466">
        <v>0</v>
      </c>
      <c r="I1592" s="467">
        <v>0</v>
      </c>
      <c r="J1592" s="468">
        <v>0</v>
      </c>
    </row>
    <row r="1593" spans="1:10" ht="12.75" outlineLevel="2">
      <c r="A1593" s="645">
        <v>2142118046</v>
      </c>
      <c r="B1593" s="635" t="s">
        <v>649</v>
      </c>
      <c r="C1593" s="635" t="s">
        <v>1802</v>
      </c>
      <c r="D1593" s="635"/>
      <c r="E1593" s="635" t="s">
        <v>1494</v>
      </c>
      <c r="F1593" s="465" t="s">
        <v>96</v>
      </c>
      <c r="G1593" s="466">
        <v>0.6</v>
      </c>
      <c r="H1593" s="466">
        <v>0.601</v>
      </c>
      <c r="I1593" s="467">
        <v>0.601</v>
      </c>
      <c r="J1593" s="468">
        <v>0</v>
      </c>
    </row>
    <row r="1594" spans="1:10" ht="12.75" outlineLevel="2">
      <c r="A1594" s="645">
        <v>2142118047</v>
      </c>
      <c r="B1594" s="635" t="s">
        <v>650</v>
      </c>
      <c r="C1594" s="635" t="s">
        <v>1802</v>
      </c>
      <c r="D1594" s="635"/>
      <c r="E1594" s="635" t="s">
        <v>1533</v>
      </c>
      <c r="F1594" s="465" t="s">
        <v>96</v>
      </c>
      <c r="G1594" s="466">
        <v>1.2</v>
      </c>
      <c r="H1594" s="466">
        <v>0</v>
      </c>
      <c r="I1594" s="467">
        <v>0</v>
      </c>
      <c r="J1594" s="468">
        <v>0</v>
      </c>
    </row>
    <row r="1595" spans="1:10" ht="12.75" outlineLevel="2">
      <c r="A1595" s="645">
        <v>2142118048</v>
      </c>
      <c r="B1595" s="635" t="s">
        <v>651</v>
      </c>
      <c r="C1595" s="635" t="s">
        <v>1802</v>
      </c>
      <c r="D1595" s="635"/>
      <c r="E1595" s="635" t="s">
        <v>1533</v>
      </c>
      <c r="F1595" s="465" t="s">
        <v>96</v>
      </c>
      <c r="G1595" s="466">
        <v>0.3</v>
      </c>
      <c r="H1595" s="466">
        <v>0</v>
      </c>
      <c r="I1595" s="467">
        <v>0</v>
      </c>
      <c r="J1595" s="468">
        <v>0</v>
      </c>
    </row>
    <row r="1596" spans="1:10" ht="12.75" outlineLevel="2">
      <c r="A1596" s="645">
        <v>2142118049</v>
      </c>
      <c r="B1596" s="635" t="s">
        <v>652</v>
      </c>
      <c r="C1596" s="635" t="s">
        <v>1782</v>
      </c>
      <c r="D1596" s="635"/>
      <c r="E1596" s="635" t="s">
        <v>1533</v>
      </c>
      <c r="F1596" s="465" t="s">
        <v>96</v>
      </c>
      <c r="G1596" s="466">
        <v>0.7</v>
      </c>
      <c r="H1596" s="466">
        <v>0</v>
      </c>
      <c r="I1596" s="467">
        <v>0</v>
      </c>
      <c r="J1596" s="468">
        <v>0</v>
      </c>
    </row>
    <row r="1597" spans="1:10" ht="12.75" outlineLevel="2">
      <c r="A1597" s="645">
        <v>2142118050</v>
      </c>
      <c r="B1597" s="635" t="s">
        <v>653</v>
      </c>
      <c r="C1597" s="635" t="s">
        <v>1782</v>
      </c>
      <c r="D1597" s="635"/>
      <c r="E1597" s="635" t="s">
        <v>1494</v>
      </c>
      <c r="F1597" s="465" t="s">
        <v>96</v>
      </c>
      <c r="G1597" s="466">
        <v>1.1</v>
      </c>
      <c r="H1597" s="466">
        <v>1.78</v>
      </c>
      <c r="I1597" s="467">
        <v>1.78</v>
      </c>
      <c r="J1597" s="468">
        <v>0</v>
      </c>
    </row>
    <row r="1598" spans="1:10" ht="12.75" outlineLevel="2">
      <c r="A1598" s="645">
        <v>2142118051</v>
      </c>
      <c r="B1598" s="635" t="s">
        <v>654</v>
      </c>
      <c r="C1598" s="635" t="s">
        <v>1782</v>
      </c>
      <c r="D1598" s="635"/>
      <c r="E1598" s="635" t="s">
        <v>1494</v>
      </c>
      <c r="F1598" s="465" t="s">
        <v>96</v>
      </c>
      <c r="G1598" s="466">
        <v>0.15</v>
      </c>
      <c r="H1598" s="466">
        <v>0.116</v>
      </c>
      <c r="I1598" s="467">
        <v>0.115</v>
      </c>
      <c r="J1598" s="468">
        <v>0.001</v>
      </c>
    </row>
    <row r="1599" spans="1:10" ht="12.75" outlineLevel="2">
      <c r="A1599" s="645">
        <v>2142118052</v>
      </c>
      <c r="B1599" s="635" t="s">
        <v>655</v>
      </c>
      <c r="C1599" s="635" t="s">
        <v>1782</v>
      </c>
      <c r="D1599" s="635"/>
      <c r="E1599" s="635" t="s">
        <v>1494</v>
      </c>
      <c r="F1599" s="465" t="s">
        <v>96</v>
      </c>
      <c r="G1599" s="466">
        <v>0.34</v>
      </c>
      <c r="H1599" s="466">
        <v>0.375</v>
      </c>
      <c r="I1599" s="467">
        <v>0.374</v>
      </c>
      <c r="J1599" s="468">
        <v>0.001</v>
      </c>
    </row>
    <row r="1600" spans="1:10" ht="12.75" outlineLevel="2">
      <c r="A1600" s="645">
        <v>2142118053</v>
      </c>
      <c r="B1600" s="635" t="s">
        <v>656</v>
      </c>
      <c r="C1600" s="635" t="s">
        <v>1800</v>
      </c>
      <c r="D1600" s="635"/>
      <c r="E1600" s="635" t="s">
        <v>1494</v>
      </c>
      <c r="F1600" s="465" t="s">
        <v>96</v>
      </c>
      <c r="G1600" s="466">
        <v>0.75</v>
      </c>
      <c r="H1600" s="466">
        <v>0.743</v>
      </c>
      <c r="I1600" s="467">
        <v>0.742</v>
      </c>
      <c r="J1600" s="468">
        <v>0.001</v>
      </c>
    </row>
    <row r="1601" spans="1:10" ht="12.75" outlineLevel="2">
      <c r="A1601" s="645">
        <v>2142118054</v>
      </c>
      <c r="B1601" s="635" t="s">
        <v>657</v>
      </c>
      <c r="C1601" s="635" t="s">
        <v>1800</v>
      </c>
      <c r="D1601" s="635"/>
      <c r="E1601" s="635" t="s">
        <v>1494</v>
      </c>
      <c r="F1601" s="465" t="s">
        <v>96</v>
      </c>
      <c r="G1601" s="466">
        <v>0.55</v>
      </c>
      <c r="H1601" s="466">
        <v>0.425</v>
      </c>
      <c r="I1601" s="467">
        <v>0.424</v>
      </c>
      <c r="J1601" s="468">
        <v>0.001</v>
      </c>
    </row>
    <row r="1602" spans="1:10" ht="12.75" outlineLevel="2">
      <c r="A1602" s="645">
        <v>2142118055</v>
      </c>
      <c r="B1602" s="635" t="s">
        <v>658</v>
      </c>
      <c r="C1602" s="635" t="s">
        <v>1800</v>
      </c>
      <c r="D1602" s="635"/>
      <c r="E1602" s="635" t="s">
        <v>1494</v>
      </c>
      <c r="F1602" s="465" t="s">
        <v>96</v>
      </c>
      <c r="G1602" s="466">
        <v>0.42</v>
      </c>
      <c r="H1602" s="466">
        <v>0.346</v>
      </c>
      <c r="I1602" s="467">
        <v>0.345</v>
      </c>
      <c r="J1602" s="468">
        <v>0.001</v>
      </c>
    </row>
    <row r="1603" spans="1:10" ht="12.75" outlineLevel="2">
      <c r="A1603" s="645">
        <v>2142118056</v>
      </c>
      <c r="B1603" s="635" t="s">
        <v>659</v>
      </c>
      <c r="C1603" s="635" t="s">
        <v>1786</v>
      </c>
      <c r="D1603" s="635"/>
      <c r="E1603" s="635" t="s">
        <v>1494</v>
      </c>
      <c r="F1603" s="465" t="s">
        <v>96</v>
      </c>
      <c r="G1603" s="466">
        <v>0.2</v>
      </c>
      <c r="H1603" s="466">
        <v>0.199</v>
      </c>
      <c r="I1603" s="467">
        <v>0.198</v>
      </c>
      <c r="J1603" s="468">
        <v>0.001</v>
      </c>
    </row>
    <row r="1604" spans="1:10" ht="12.75" outlineLevel="2">
      <c r="A1604" s="645">
        <v>2142118057</v>
      </c>
      <c r="B1604" s="635" t="s">
        <v>660</v>
      </c>
      <c r="C1604" s="635" t="s">
        <v>1786</v>
      </c>
      <c r="D1604" s="635"/>
      <c r="E1604" s="635" t="s">
        <v>1494</v>
      </c>
      <c r="F1604" s="465" t="s">
        <v>96</v>
      </c>
      <c r="G1604" s="466">
        <v>0.3</v>
      </c>
      <c r="H1604" s="466">
        <v>0.273</v>
      </c>
      <c r="I1604" s="467">
        <v>0.272</v>
      </c>
      <c r="J1604" s="468">
        <v>0.001</v>
      </c>
    </row>
    <row r="1605" spans="1:10" ht="12.75" outlineLevel="2">
      <c r="A1605" s="645">
        <v>2142118058</v>
      </c>
      <c r="B1605" s="635" t="s">
        <v>661</v>
      </c>
      <c r="C1605" s="635" t="s">
        <v>1786</v>
      </c>
      <c r="D1605" s="635"/>
      <c r="E1605" s="635" t="s">
        <v>1494</v>
      </c>
      <c r="F1605" s="465" t="s">
        <v>96</v>
      </c>
      <c r="G1605" s="466">
        <v>0.15</v>
      </c>
      <c r="H1605" s="466">
        <v>0.15</v>
      </c>
      <c r="I1605" s="467">
        <v>0.149</v>
      </c>
      <c r="J1605" s="468">
        <v>0.001</v>
      </c>
    </row>
    <row r="1606" spans="1:10" ht="12.75" outlineLevel="2">
      <c r="A1606" s="645">
        <v>2142118059</v>
      </c>
      <c r="B1606" s="635" t="s">
        <v>662</v>
      </c>
      <c r="C1606" s="635" t="s">
        <v>1786</v>
      </c>
      <c r="D1606" s="635"/>
      <c r="E1606" s="635" t="s">
        <v>1494</v>
      </c>
      <c r="F1606" s="465" t="s">
        <v>96</v>
      </c>
      <c r="G1606" s="466">
        <v>0.3</v>
      </c>
      <c r="H1606" s="466">
        <v>0.29</v>
      </c>
      <c r="I1606" s="467">
        <v>0.289</v>
      </c>
      <c r="J1606" s="468">
        <v>0.001</v>
      </c>
    </row>
    <row r="1607" spans="1:10" ht="12.75" outlineLevel="2">
      <c r="A1607" s="645">
        <v>2142118060</v>
      </c>
      <c r="B1607" s="635" t="s">
        <v>1434</v>
      </c>
      <c r="C1607" s="635" t="s">
        <v>1804</v>
      </c>
      <c r="D1607" s="635"/>
      <c r="E1607" s="635" t="s">
        <v>1533</v>
      </c>
      <c r="F1607" s="465" t="s">
        <v>96</v>
      </c>
      <c r="G1607" s="466">
        <v>0.4</v>
      </c>
      <c r="H1607" s="466">
        <v>0</v>
      </c>
      <c r="I1607" s="467">
        <v>0</v>
      </c>
      <c r="J1607" s="468">
        <v>0</v>
      </c>
    </row>
    <row r="1608" spans="1:10" ht="12.75" outlineLevel="2">
      <c r="A1608" s="645">
        <v>2142118061</v>
      </c>
      <c r="B1608" s="635" t="s">
        <v>1435</v>
      </c>
      <c r="C1608" s="635" t="s">
        <v>1804</v>
      </c>
      <c r="D1608" s="635"/>
      <c r="E1608" s="635" t="s">
        <v>1494</v>
      </c>
      <c r="F1608" s="465" t="s">
        <v>96</v>
      </c>
      <c r="G1608" s="466">
        <v>0.9</v>
      </c>
      <c r="H1608" s="466">
        <v>1.094</v>
      </c>
      <c r="I1608" s="467">
        <v>1.093</v>
      </c>
      <c r="J1608" s="468">
        <v>0.001</v>
      </c>
    </row>
    <row r="1609" spans="1:10" ht="12.75" outlineLevel="2">
      <c r="A1609" s="645">
        <v>2142118062</v>
      </c>
      <c r="B1609" s="635" t="s">
        <v>1436</v>
      </c>
      <c r="C1609" s="635" t="s">
        <v>1804</v>
      </c>
      <c r="D1609" s="635"/>
      <c r="E1609" s="635" t="s">
        <v>1494</v>
      </c>
      <c r="F1609" s="465" t="s">
        <v>96</v>
      </c>
      <c r="G1609" s="466">
        <v>0.4</v>
      </c>
      <c r="H1609" s="466">
        <v>0.682</v>
      </c>
      <c r="I1609" s="467">
        <v>0.681</v>
      </c>
      <c r="J1609" s="468">
        <v>0.001</v>
      </c>
    </row>
    <row r="1610" spans="1:10" ht="12.75" outlineLevel="2">
      <c r="A1610" s="645">
        <v>2142118063</v>
      </c>
      <c r="B1610" s="635" t="s">
        <v>1437</v>
      </c>
      <c r="C1610" s="635" t="s">
        <v>1804</v>
      </c>
      <c r="D1610" s="635"/>
      <c r="E1610" s="635" t="s">
        <v>1494</v>
      </c>
      <c r="F1610" s="465" t="s">
        <v>1845</v>
      </c>
      <c r="G1610" s="466">
        <v>0</v>
      </c>
      <c r="H1610" s="466">
        <v>0.59</v>
      </c>
      <c r="I1610" s="467">
        <v>0.59</v>
      </c>
      <c r="J1610" s="468">
        <v>0</v>
      </c>
    </row>
    <row r="1611" spans="1:10" ht="12.75" outlineLevel="2">
      <c r="A1611" s="645">
        <v>2142118063</v>
      </c>
      <c r="B1611" s="635" t="s">
        <v>1437</v>
      </c>
      <c r="C1611" s="635" t="s">
        <v>1804</v>
      </c>
      <c r="D1611" s="635"/>
      <c r="E1611" s="635" t="s">
        <v>1494</v>
      </c>
      <c r="F1611" s="465" t="s">
        <v>96</v>
      </c>
      <c r="G1611" s="466">
        <v>0.6</v>
      </c>
      <c r="H1611" s="466">
        <v>0</v>
      </c>
      <c r="I1611" s="467">
        <v>0</v>
      </c>
      <c r="J1611" s="468">
        <v>0</v>
      </c>
    </row>
    <row r="1612" spans="1:10" ht="12.75" outlineLevel="2">
      <c r="A1612" s="645">
        <v>2142118064</v>
      </c>
      <c r="B1612" s="635" t="s">
        <v>1438</v>
      </c>
      <c r="C1612" s="635" t="s">
        <v>1792</v>
      </c>
      <c r="D1612" s="635"/>
      <c r="E1612" s="635" t="s">
        <v>1494</v>
      </c>
      <c r="F1612" s="465" t="s">
        <v>96</v>
      </c>
      <c r="G1612" s="466">
        <v>0.15</v>
      </c>
      <c r="H1612" s="466">
        <v>0.23</v>
      </c>
      <c r="I1612" s="467">
        <v>0.229</v>
      </c>
      <c r="J1612" s="468">
        <v>0.001</v>
      </c>
    </row>
    <row r="1613" spans="1:10" ht="12.75" outlineLevel="2">
      <c r="A1613" s="645">
        <v>2142118065</v>
      </c>
      <c r="B1613" s="635" t="s">
        <v>1439</v>
      </c>
      <c r="C1613" s="635" t="s">
        <v>1792</v>
      </c>
      <c r="D1613" s="635"/>
      <c r="E1613" s="635" t="s">
        <v>1533</v>
      </c>
      <c r="F1613" s="465" t="s">
        <v>96</v>
      </c>
      <c r="G1613" s="466">
        <v>0.1</v>
      </c>
      <c r="H1613" s="466">
        <v>0</v>
      </c>
      <c r="I1613" s="467">
        <v>0</v>
      </c>
      <c r="J1613" s="468">
        <v>0</v>
      </c>
    </row>
    <row r="1614" spans="1:10" ht="12.75" outlineLevel="2">
      <c r="A1614" s="645">
        <v>2142118066</v>
      </c>
      <c r="B1614" s="635" t="s">
        <v>1440</v>
      </c>
      <c r="C1614" s="635" t="s">
        <v>1792</v>
      </c>
      <c r="D1614" s="635"/>
      <c r="E1614" s="635" t="s">
        <v>1494</v>
      </c>
      <c r="F1614" s="465" t="s">
        <v>96</v>
      </c>
      <c r="G1614" s="466">
        <v>0.75</v>
      </c>
      <c r="H1614" s="466">
        <v>0.746</v>
      </c>
      <c r="I1614" s="467">
        <v>0.746</v>
      </c>
      <c r="J1614" s="468">
        <v>0</v>
      </c>
    </row>
    <row r="1615" spans="1:10" ht="12.75" outlineLevel="2">
      <c r="A1615" s="645">
        <v>2142118067</v>
      </c>
      <c r="B1615" s="635" t="s">
        <v>1441</v>
      </c>
      <c r="C1615" s="635" t="s">
        <v>1792</v>
      </c>
      <c r="D1615" s="635"/>
      <c r="E1615" s="635" t="s">
        <v>1533</v>
      </c>
      <c r="F1615" s="465" t="s">
        <v>96</v>
      </c>
      <c r="G1615" s="466">
        <v>0.2</v>
      </c>
      <c r="H1615" s="466">
        <v>0</v>
      </c>
      <c r="I1615" s="467">
        <v>0</v>
      </c>
      <c r="J1615" s="468">
        <v>0</v>
      </c>
    </row>
    <row r="1616" spans="1:10" ht="12.75" outlineLevel="2">
      <c r="A1616" s="645">
        <v>2142118068</v>
      </c>
      <c r="B1616" s="635" t="s">
        <v>1442</v>
      </c>
      <c r="C1616" s="635" t="s">
        <v>1798</v>
      </c>
      <c r="D1616" s="635"/>
      <c r="E1616" s="635" t="s">
        <v>1494</v>
      </c>
      <c r="F1616" s="465" t="s">
        <v>1845</v>
      </c>
      <c r="G1616" s="466">
        <v>0</v>
      </c>
      <c r="H1616" s="466">
        <v>0.098</v>
      </c>
      <c r="I1616" s="467">
        <v>0.098</v>
      </c>
      <c r="J1616" s="468">
        <v>0</v>
      </c>
    </row>
    <row r="1617" spans="1:10" ht="12.75" outlineLevel="2">
      <c r="A1617" s="645">
        <v>2142118068</v>
      </c>
      <c r="B1617" s="635" t="s">
        <v>1442</v>
      </c>
      <c r="C1617" s="635" t="s">
        <v>1798</v>
      </c>
      <c r="D1617" s="635"/>
      <c r="E1617" s="635" t="s">
        <v>1494</v>
      </c>
      <c r="F1617" s="465" t="s">
        <v>96</v>
      </c>
      <c r="G1617" s="466">
        <v>1.46</v>
      </c>
      <c r="H1617" s="466">
        <v>1.286</v>
      </c>
      <c r="I1617" s="467">
        <v>1.285</v>
      </c>
      <c r="J1617" s="468">
        <v>0.001</v>
      </c>
    </row>
    <row r="1618" spans="1:10" ht="12.75" outlineLevel="2">
      <c r="A1618" s="645">
        <v>2142118069</v>
      </c>
      <c r="B1618" s="635" t="s">
        <v>1443</v>
      </c>
      <c r="C1618" s="635" t="s">
        <v>1798</v>
      </c>
      <c r="D1618" s="635"/>
      <c r="E1618" s="635" t="s">
        <v>1494</v>
      </c>
      <c r="F1618" s="465" t="s">
        <v>96</v>
      </c>
      <c r="G1618" s="466">
        <v>0.3</v>
      </c>
      <c r="H1618" s="466">
        <v>0.48</v>
      </c>
      <c r="I1618" s="467">
        <v>0.48</v>
      </c>
      <c r="J1618" s="468">
        <v>0</v>
      </c>
    </row>
    <row r="1619" spans="1:10" ht="12.75" outlineLevel="2">
      <c r="A1619" s="645">
        <v>2142118070</v>
      </c>
      <c r="B1619" s="635" t="s">
        <v>1444</v>
      </c>
      <c r="C1619" s="635" t="s">
        <v>1790</v>
      </c>
      <c r="D1619" s="635"/>
      <c r="E1619" s="635" t="s">
        <v>1494</v>
      </c>
      <c r="F1619" s="465" t="s">
        <v>1845</v>
      </c>
      <c r="G1619" s="466">
        <v>0</v>
      </c>
      <c r="H1619" s="466">
        <v>0.366</v>
      </c>
      <c r="I1619" s="467">
        <v>0.366</v>
      </c>
      <c r="J1619" s="468">
        <v>0</v>
      </c>
    </row>
    <row r="1620" spans="1:10" ht="12.75" outlineLevel="2">
      <c r="A1620" s="645">
        <v>2142118070</v>
      </c>
      <c r="B1620" s="635" t="s">
        <v>1444</v>
      </c>
      <c r="C1620" s="635" t="s">
        <v>1790</v>
      </c>
      <c r="D1620" s="635"/>
      <c r="E1620" s="635" t="s">
        <v>1494</v>
      </c>
      <c r="F1620" s="465" t="s">
        <v>96</v>
      </c>
      <c r="G1620" s="466">
        <v>1.45</v>
      </c>
      <c r="H1620" s="466">
        <v>1.08</v>
      </c>
      <c r="I1620" s="467">
        <v>1.079</v>
      </c>
      <c r="J1620" s="468">
        <v>0.001</v>
      </c>
    </row>
    <row r="1621" spans="1:10" ht="12.75" outlineLevel="2">
      <c r="A1621" s="645">
        <v>2142118071</v>
      </c>
      <c r="B1621" s="635" t="s">
        <v>1445</v>
      </c>
      <c r="C1621" s="635" t="s">
        <v>1790</v>
      </c>
      <c r="D1621" s="635"/>
      <c r="E1621" s="635" t="s">
        <v>1494</v>
      </c>
      <c r="F1621" s="465" t="s">
        <v>96</v>
      </c>
      <c r="G1621" s="466">
        <v>0.48</v>
      </c>
      <c r="H1621" s="466">
        <v>0.479</v>
      </c>
      <c r="I1621" s="467">
        <v>0.478</v>
      </c>
      <c r="J1621" s="468">
        <v>0.001</v>
      </c>
    </row>
    <row r="1622" spans="1:10" ht="12.75" outlineLevel="2">
      <c r="A1622" s="645">
        <v>2142118072</v>
      </c>
      <c r="B1622" s="635" t="s">
        <v>1436</v>
      </c>
      <c r="C1622" s="635" t="s">
        <v>1788</v>
      </c>
      <c r="D1622" s="635"/>
      <c r="E1622" s="635" t="s">
        <v>1494</v>
      </c>
      <c r="F1622" s="465" t="s">
        <v>96</v>
      </c>
      <c r="G1622" s="466">
        <v>0.3</v>
      </c>
      <c r="H1622" s="466">
        <v>0.27</v>
      </c>
      <c r="I1622" s="467">
        <v>0.269</v>
      </c>
      <c r="J1622" s="468">
        <v>0.001</v>
      </c>
    </row>
    <row r="1623" spans="1:10" ht="12.75" outlineLevel="2">
      <c r="A1623" s="645">
        <v>2142118073</v>
      </c>
      <c r="B1623" s="635" t="s">
        <v>1446</v>
      </c>
      <c r="C1623" s="635" t="s">
        <v>1788</v>
      </c>
      <c r="D1623" s="635"/>
      <c r="E1623" s="635" t="s">
        <v>1494</v>
      </c>
      <c r="F1623" s="465" t="s">
        <v>96</v>
      </c>
      <c r="G1623" s="466">
        <v>0.3</v>
      </c>
      <c r="H1623" s="466">
        <v>0.274</v>
      </c>
      <c r="I1623" s="467">
        <v>0.273</v>
      </c>
      <c r="J1623" s="468">
        <v>0.001</v>
      </c>
    </row>
    <row r="1624" spans="1:10" ht="12.75" outlineLevel="2">
      <c r="A1624" s="645">
        <v>2142118074</v>
      </c>
      <c r="B1624" s="635" t="s">
        <v>1447</v>
      </c>
      <c r="C1624" s="635" t="s">
        <v>1788</v>
      </c>
      <c r="D1624" s="635"/>
      <c r="E1624" s="635" t="s">
        <v>1494</v>
      </c>
      <c r="F1624" s="465" t="s">
        <v>96</v>
      </c>
      <c r="G1624" s="466">
        <v>0.2</v>
      </c>
      <c r="H1624" s="466">
        <v>0.297</v>
      </c>
      <c r="I1624" s="467">
        <v>0.296</v>
      </c>
      <c r="J1624" s="468">
        <v>0.001</v>
      </c>
    </row>
    <row r="1625" spans="1:10" ht="12.75" outlineLevel="2">
      <c r="A1625" s="645">
        <v>2142118075</v>
      </c>
      <c r="B1625" s="635" t="s">
        <v>1448</v>
      </c>
      <c r="C1625" s="635" t="s">
        <v>1788</v>
      </c>
      <c r="D1625" s="635"/>
      <c r="E1625" s="635" t="s">
        <v>1533</v>
      </c>
      <c r="F1625" s="465" t="s">
        <v>96</v>
      </c>
      <c r="G1625" s="466">
        <v>0.9</v>
      </c>
      <c r="H1625" s="466">
        <v>0</v>
      </c>
      <c r="I1625" s="467">
        <v>0</v>
      </c>
      <c r="J1625" s="468">
        <v>0</v>
      </c>
    </row>
    <row r="1626" spans="1:10" ht="12.75" outlineLevel="2">
      <c r="A1626" s="645">
        <v>2142118076</v>
      </c>
      <c r="B1626" s="635" t="s">
        <v>1437</v>
      </c>
      <c r="C1626" s="635" t="s">
        <v>1788</v>
      </c>
      <c r="D1626" s="635"/>
      <c r="E1626" s="635" t="s">
        <v>1494</v>
      </c>
      <c r="F1626" s="465" t="s">
        <v>96</v>
      </c>
      <c r="G1626" s="466">
        <v>0.24</v>
      </c>
      <c r="H1626" s="466">
        <v>0.256</v>
      </c>
      <c r="I1626" s="467">
        <v>0.256</v>
      </c>
      <c r="J1626" s="468">
        <v>0</v>
      </c>
    </row>
    <row r="1627" spans="1:10" ht="12.75" outlineLevel="2">
      <c r="A1627" s="645">
        <v>2142118077</v>
      </c>
      <c r="B1627" s="635" t="s">
        <v>1449</v>
      </c>
      <c r="C1627" s="635" t="s">
        <v>1784</v>
      </c>
      <c r="D1627" s="635"/>
      <c r="E1627" s="635" t="s">
        <v>1494</v>
      </c>
      <c r="F1627" s="465" t="s">
        <v>96</v>
      </c>
      <c r="G1627" s="466">
        <v>0.22</v>
      </c>
      <c r="H1627" s="466">
        <v>0.465</v>
      </c>
      <c r="I1627" s="467">
        <v>0.464</v>
      </c>
      <c r="J1627" s="468">
        <v>0.001</v>
      </c>
    </row>
    <row r="1628" spans="1:10" ht="12.75" outlineLevel="2">
      <c r="A1628" s="645">
        <v>2142118078</v>
      </c>
      <c r="B1628" s="635" t="s">
        <v>1450</v>
      </c>
      <c r="C1628" s="635" t="s">
        <v>1784</v>
      </c>
      <c r="D1628" s="635"/>
      <c r="E1628" s="635" t="s">
        <v>1494</v>
      </c>
      <c r="F1628" s="465" t="s">
        <v>96</v>
      </c>
      <c r="G1628" s="466">
        <v>0.35</v>
      </c>
      <c r="H1628" s="466">
        <v>0.356</v>
      </c>
      <c r="I1628" s="467">
        <v>0.356</v>
      </c>
      <c r="J1628" s="468">
        <v>0</v>
      </c>
    </row>
    <row r="1629" spans="1:10" ht="12.75" outlineLevel="2">
      <c r="A1629" s="645">
        <v>2142118079</v>
      </c>
      <c r="B1629" s="635" t="s">
        <v>1451</v>
      </c>
      <c r="C1629" s="635" t="s">
        <v>1784</v>
      </c>
      <c r="D1629" s="635"/>
      <c r="E1629" s="635" t="s">
        <v>1533</v>
      </c>
      <c r="F1629" s="465" t="s">
        <v>96</v>
      </c>
      <c r="G1629" s="466">
        <v>0.215</v>
      </c>
      <c r="H1629" s="466">
        <v>0</v>
      </c>
      <c r="I1629" s="467">
        <v>0</v>
      </c>
      <c r="J1629" s="468">
        <v>0</v>
      </c>
    </row>
    <row r="1630" spans="1:10" ht="12.75" outlineLevel="2">
      <c r="A1630" s="645">
        <v>2142118080</v>
      </c>
      <c r="B1630" s="635" t="s">
        <v>1446</v>
      </c>
      <c r="C1630" s="635" t="s">
        <v>1784</v>
      </c>
      <c r="D1630" s="635"/>
      <c r="E1630" s="635" t="s">
        <v>1494</v>
      </c>
      <c r="F1630" s="465" t="s">
        <v>96</v>
      </c>
      <c r="G1630" s="466">
        <v>0.1</v>
      </c>
      <c r="H1630" s="466">
        <v>0</v>
      </c>
      <c r="I1630" s="467">
        <v>0</v>
      </c>
      <c r="J1630" s="468">
        <v>0</v>
      </c>
    </row>
    <row r="1631" spans="1:10" ht="12.75" outlineLevel="2">
      <c r="A1631" s="645">
        <v>2142118081</v>
      </c>
      <c r="B1631" s="635" t="s">
        <v>1456</v>
      </c>
      <c r="C1631" s="635" t="s">
        <v>1784</v>
      </c>
      <c r="D1631" s="635"/>
      <c r="E1631" s="635" t="s">
        <v>1494</v>
      </c>
      <c r="F1631" s="465" t="s">
        <v>96</v>
      </c>
      <c r="G1631" s="466">
        <v>0.5</v>
      </c>
      <c r="H1631" s="466">
        <v>0.674</v>
      </c>
      <c r="I1631" s="467">
        <v>0.673</v>
      </c>
      <c r="J1631" s="468">
        <v>0.001</v>
      </c>
    </row>
    <row r="1632" spans="1:10" ht="12.75" outlineLevel="2">
      <c r="A1632" s="645">
        <v>2142118082</v>
      </c>
      <c r="B1632" s="635" t="s">
        <v>1457</v>
      </c>
      <c r="C1632" s="635" t="s">
        <v>1784</v>
      </c>
      <c r="D1632" s="635"/>
      <c r="E1632" s="635" t="s">
        <v>1494</v>
      </c>
      <c r="F1632" s="465" t="s">
        <v>96</v>
      </c>
      <c r="G1632" s="466">
        <v>0.5</v>
      </c>
      <c r="H1632" s="466">
        <v>0.321</v>
      </c>
      <c r="I1632" s="467">
        <v>0.32</v>
      </c>
      <c r="J1632" s="468">
        <v>0.001</v>
      </c>
    </row>
    <row r="1633" spans="1:10" ht="12.75" outlineLevel="2">
      <c r="A1633" s="645">
        <v>2142118083</v>
      </c>
      <c r="B1633" s="635" t="s">
        <v>1458</v>
      </c>
      <c r="C1633" s="635" t="s">
        <v>1806</v>
      </c>
      <c r="D1633" s="635"/>
      <c r="E1633" s="635" t="s">
        <v>1494</v>
      </c>
      <c r="F1633" s="465" t="s">
        <v>96</v>
      </c>
      <c r="G1633" s="466">
        <v>1.35</v>
      </c>
      <c r="H1633" s="466">
        <v>1.35</v>
      </c>
      <c r="I1633" s="467">
        <v>1.35</v>
      </c>
      <c r="J1633" s="468">
        <v>0</v>
      </c>
    </row>
    <row r="1634" spans="1:10" ht="12.75" outlineLevel="2">
      <c r="A1634" s="645">
        <v>2142118084</v>
      </c>
      <c r="B1634" s="635" t="s">
        <v>1459</v>
      </c>
      <c r="C1634" s="635" t="s">
        <v>1806</v>
      </c>
      <c r="D1634" s="635"/>
      <c r="E1634" s="635" t="s">
        <v>1494</v>
      </c>
      <c r="F1634" s="465" t="s">
        <v>96</v>
      </c>
      <c r="G1634" s="466">
        <v>0.25</v>
      </c>
      <c r="H1634" s="466">
        <v>0.25</v>
      </c>
      <c r="I1634" s="467">
        <v>0.25</v>
      </c>
      <c r="J1634" s="468">
        <v>0</v>
      </c>
    </row>
    <row r="1635" spans="1:10" ht="12.75" outlineLevel="2">
      <c r="A1635" s="645">
        <v>2142118085</v>
      </c>
      <c r="B1635" s="635" t="s">
        <v>1460</v>
      </c>
      <c r="C1635" s="635" t="s">
        <v>1806</v>
      </c>
      <c r="D1635" s="635"/>
      <c r="E1635" s="635" t="s">
        <v>1494</v>
      </c>
      <c r="F1635" s="465" t="s">
        <v>96</v>
      </c>
      <c r="G1635" s="466">
        <v>0.1</v>
      </c>
      <c r="H1635" s="466">
        <v>0.131</v>
      </c>
      <c r="I1635" s="467">
        <v>0.131</v>
      </c>
      <c r="J1635" s="468">
        <v>0</v>
      </c>
    </row>
    <row r="1636" spans="1:10" ht="12.75" outlineLevel="2">
      <c r="A1636" s="645">
        <v>2142118086</v>
      </c>
      <c r="B1636" s="635" t="s">
        <v>1461</v>
      </c>
      <c r="C1636" s="635" t="s">
        <v>1796</v>
      </c>
      <c r="D1636" s="635"/>
      <c r="E1636" s="635" t="s">
        <v>1494</v>
      </c>
      <c r="F1636" s="465" t="s">
        <v>96</v>
      </c>
      <c r="G1636" s="466">
        <v>1.8</v>
      </c>
      <c r="H1636" s="466">
        <v>2.212</v>
      </c>
      <c r="I1636" s="467">
        <v>2.212</v>
      </c>
      <c r="J1636" s="468">
        <v>0</v>
      </c>
    </row>
    <row r="1637" spans="1:10" ht="12.75" outlineLevel="2">
      <c r="A1637" s="645">
        <v>2142118087</v>
      </c>
      <c r="B1637" s="635" t="s">
        <v>1462</v>
      </c>
      <c r="C1637" s="635" t="s">
        <v>1794</v>
      </c>
      <c r="D1637" s="635"/>
      <c r="E1637" s="635" t="s">
        <v>1494</v>
      </c>
      <c r="F1637" s="465" t="s">
        <v>1845</v>
      </c>
      <c r="G1637" s="466">
        <v>0</v>
      </c>
      <c r="H1637" s="466">
        <v>1.308</v>
      </c>
      <c r="I1637" s="467">
        <v>1.308</v>
      </c>
      <c r="J1637" s="468">
        <v>0</v>
      </c>
    </row>
    <row r="1638" spans="1:10" ht="12.75" outlineLevel="2">
      <c r="A1638" s="645">
        <v>2142118087</v>
      </c>
      <c r="B1638" s="635" t="s">
        <v>1462</v>
      </c>
      <c r="C1638" s="635" t="s">
        <v>1794</v>
      </c>
      <c r="D1638" s="635"/>
      <c r="E1638" s="635" t="s">
        <v>1494</v>
      </c>
      <c r="F1638" s="465" t="s">
        <v>96</v>
      </c>
      <c r="G1638" s="466">
        <v>1.5</v>
      </c>
      <c r="H1638" s="466">
        <v>0</v>
      </c>
      <c r="I1638" s="467">
        <v>0</v>
      </c>
      <c r="J1638" s="468">
        <v>0</v>
      </c>
    </row>
    <row r="1639" spans="1:10" ht="12.75" outlineLevel="2">
      <c r="A1639" s="645">
        <v>2142118088</v>
      </c>
      <c r="B1639" s="635" t="s">
        <v>1463</v>
      </c>
      <c r="C1639" s="635" t="s">
        <v>1794</v>
      </c>
      <c r="D1639" s="635"/>
      <c r="E1639" s="635" t="s">
        <v>1494</v>
      </c>
      <c r="F1639" s="465" t="s">
        <v>96</v>
      </c>
      <c r="G1639" s="466">
        <v>0.7</v>
      </c>
      <c r="H1639" s="466">
        <v>1.026</v>
      </c>
      <c r="I1639" s="467">
        <v>1.026</v>
      </c>
      <c r="J1639" s="468">
        <v>0</v>
      </c>
    </row>
    <row r="1640" spans="1:10" ht="12.75" outlineLevel="2">
      <c r="A1640" s="645">
        <v>2142118089</v>
      </c>
      <c r="B1640" s="635" t="s">
        <v>1464</v>
      </c>
      <c r="C1640" s="635" t="s">
        <v>1794</v>
      </c>
      <c r="D1640" s="635"/>
      <c r="E1640" s="635" t="s">
        <v>1494</v>
      </c>
      <c r="F1640" s="465" t="s">
        <v>1845</v>
      </c>
      <c r="G1640" s="466">
        <v>0</v>
      </c>
      <c r="H1640" s="466">
        <v>0.474</v>
      </c>
      <c r="I1640" s="467">
        <v>0.474</v>
      </c>
      <c r="J1640" s="468">
        <v>0</v>
      </c>
    </row>
    <row r="1641" spans="1:10" ht="12.75" outlineLevel="2">
      <c r="A1641" s="645">
        <v>2142118089</v>
      </c>
      <c r="B1641" s="635" t="s">
        <v>1464</v>
      </c>
      <c r="C1641" s="635" t="s">
        <v>1794</v>
      </c>
      <c r="D1641" s="635"/>
      <c r="E1641" s="635" t="s">
        <v>1494</v>
      </c>
      <c r="F1641" s="465" t="s">
        <v>96</v>
      </c>
      <c r="G1641" s="466">
        <v>0.5</v>
      </c>
      <c r="H1641" s="466">
        <v>0</v>
      </c>
      <c r="I1641" s="467">
        <v>0</v>
      </c>
      <c r="J1641" s="468">
        <v>0</v>
      </c>
    </row>
    <row r="1642" spans="1:10" ht="12.75" outlineLevel="2">
      <c r="A1642" s="645">
        <v>2142118090</v>
      </c>
      <c r="B1642" s="635" t="s">
        <v>1465</v>
      </c>
      <c r="C1642" s="635" t="s">
        <v>1794</v>
      </c>
      <c r="D1642" s="635"/>
      <c r="E1642" s="635" t="s">
        <v>1533</v>
      </c>
      <c r="F1642" s="465" t="s">
        <v>96</v>
      </c>
      <c r="G1642" s="466">
        <v>0.3</v>
      </c>
      <c r="H1642" s="466">
        <v>0</v>
      </c>
      <c r="I1642" s="467">
        <v>0</v>
      </c>
      <c r="J1642" s="468">
        <v>0</v>
      </c>
    </row>
    <row r="1643" spans="1:10" ht="12.75" outlineLevel="2">
      <c r="A1643" s="645">
        <v>2142118091</v>
      </c>
      <c r="B1643" s="635" t="s">
        <v>1466</v>
      </c>
      <c r="C1643" s="635" t="s">
        <v>1780</v>
      </c>
      <c r="D1643" s="635"/>
      <c r="E1643" s="635" t="s">
        <v>1494</v>
      </c>
      <c r="F1643" s="465" t="s">
        <v>1845</v>
      </c>
      <c r="G1643" s="466">
        <v>0</v>
      </c>
      <c r="H1643" s="466">
        <v>0.036</v>
      </c>
      <c r="I1643" s="467">
        <v>0.036</v>
      </c>
      <c r="J1643" s="468">
        <v>0</v>
      </c>
    </row>
    <row r="1644" spans="1:10" ht="12.75" outlineLevel="2">
      <c r="A1644" s="645">
        <v>2142118091</v>
      </c>
      <c r="B1644" s="635" t="s">
        <v>1466</v>
      </c>
      <c r="C1644" s="635" t="s">
        <v>1780</v>
      </c>
      <c r="D1644" s="635"/>
      <c r="E1644" s="635" t="s">
        <v>1494</v>
      </c>
      <c r="F1644" s="465" t="s">
        <v>96</v>
      </c>
      <c r="G1644" s="466">
        <v>0.35</v>
      </c>
      <c r="H1644" s="466">
        <v>0.314</v>
      </c>
      <c r="I1644" s="467">
        <v>0.314</v>
      </c>
      <c r="J1644" s="468">
        <v>0</v>
      </c>
    </row>
    <row r="1645" spans="1:10" ht="12.75" outlineLevel="2">
      <c r="A1645" s="645">
        <v>2142118092</v>
      </c>
      <c r="B1645" s="635" t="s">
        <v>1467</v>
      </c>
      <c r="C1645" s="635" t="s">
        <v>1780</v>
      </c>
      <c r="D1645" s="635"/>
      <c r="E1645" s="635" t="s">
        <v>1494</v>
      </c>
      <c r="F1645" s="465" t="s">
        <v>96</v>
      </c>
      <c r="G1645" s="466">
        <v>0.65</v>
      </c>
      <c r="H1645" s="466">
        <v>0.649</v>
      </c>
      <c r="I1645" s="467">
        <v>0.647</v>
      </c>
      <c r="J1645" s="468">
        <v>0.002</v>
      </c>
    </row>
    <row r="1646" spans="1:10" ht="12.75" outlineLevel="2">
      <c r="A1646" s="645">
        <v>2142118093</v>
      </c>
      <c r="B1646" s="635" t="s">
        <v>1468</v>
      </c>
      <c r="C1646" s="635" t="s">
        <v>1780</v>
      </c>
      <c r="D1646" s="635"/>
      <c r="E1646" s="635" t="s">
        <v>1494</v>
      </c>
      <c r="F1646" s="465" t="s">
        <v>1845</v>
      </c>
      <c r="G1646" s="466">
        <v>0</v>
      </c>
      <c r="H1646" s="466">
        <v>0.496</v>
      </c>
      <c r="I1646" s="467">
        <v>0.495</v>
      </c>
      <c r="J1646" s="468">
        <v>0.001</v>
      </c>
    </row>
    <row r="1647" spans="1:10" ht="12.75" outlineLevel="2">
      <c r="A1647" s="645">
        <v>2142118093</v>
      </c>
      <c r="B1647" s="635" t="s">
        <v>1468</v>
      </c>
      <c r="C1647" s="635" t="s">
        <v>1780</v>
      </c>
      <c r="D1647" s="635"/>
      <c r="E1647" s="635" t="s">
        <v>1494</v>
      </c>
      <c r="F1647" s="465" t="s">
        <v>96</v>
      </c>
      <c r="G1647" s="466">
        <v>0.5</v>
      </c>
      <c r="H1647" s="466">
        <v>0</v>
      </c>
      <c r="I1647" s="467">
        <v>0</v>
      </c>
      <c r="J1647" s="468">
        <v>0</v>
      </c>
    </row>
    <row r="1648" spans="1:10" ht="12.75" outlineLevel="2">
      <c r="A1648" s="645">
        <v>2142118094</v>
      </c>
      <c r="B1648" s="635" t="s">
        <v>1469</v>
      </c>
      <c r="C1648" s="635" t="s">
        <v>1777</v>
      </c>
      <c r="D1648" s="635"/>
      <c r="E1648" s="635" t="s">
        <v>1494</v>
      </c>
      <c r="F1648" s="465" t="s">
        <v>1845</v>
      </c>
      <c r="G1648" s="466">
        <v>0.42</v>
      </c>
      <c r="H1648" s="466">
        <v>0.42</v>
      </c>
      <c r="I1648" s="467">
        <v>0.419</v>
      </c>
      <c r="J1648" s="468">
        <v>0.001</v>
      </c>
    </row>
    <row r="1649" spans="1:10" ht="12.75" outlineLevel="2">
      <c r="A1649" s="645">
        <v>2142118095</v>
      </c>
      <c r="B1649" s="635" t="s">
        <v>1470</v>
      </c>
      <c r="C1649" s="635" t="s">
        <v>1777</v>
      </c>
      <c r="D1649" s="635"/>
      <c r="E1649" s="635" t="s">
        <v>1494</v>
      </c>
      <c r="F1649" s="465" t="s">
        <v>1845</v>
      </c>
      <c r="G1649" s="466">
        <v>0.42</v>
      </c>
      <c r="H1649" s="466">
        <v>0.259</v>
      </c>
      <c r="I1649" s="467">
        <v>0.259</v>
      </c>
      <c r="J1649" s="468">
        <v>0</v>
      </c>
    </row>
    <row r="1650" spans="1:10" ht="12.75" outlineLevel="2">
      <c r="A1650" s="645">
        <v>2142118096</v>
      </c>
      <c r="B1650" s="635" t="s">
        <v>1471</v>
      </c>
      <c r="C1650" s="635" t="s">
        <v>1777</v>
      </c>
      <c r="D1650" s="635"/>
      <c r="E1650" s="635" t="s">
        <v>1494</v>
      </c>
      <c r="F1650" s="465" t="s">
        <v>1845</v>
      </c>
      <c r="G1650" s="466">
        <v>0.56</v>
      </c>
      <c r="H1650" s="466">
        <v>0.742</v>
      </c>
      <c r="I1650" s="467">
        <v>0.738</v>
      </c>
      <c r="J1650" s="468">
        <v>0.004</v>
      </c>
    </row>
    <row r="1651" spans="1:10" ht="12.75" outlineLevel="2">
      <c r="A1651" s="645">
        <v>2142118097</v>
      </c>
      <c r="B1651" s="635" t="s">
        <v>1472</v>
      </c>
      <c r="C1651" s="635" t="s">
        <v>1777</v>
      </c>
      <c r="D1651" s="635"/>
      <c r="E1651" s="635" t="s">
        <v>1494</v>
      </c>
      <c r="F1651" s="465" t="s">
        <v>1845</v>
      </c>
      <c r="G1651" s="466">
        <v>0.3</v>
      </c>
      <c r="H1651" s="466">
        <v>0.279</v>
      </c>
      <c r="I1651" s="467">
        <v>0.279</v>
      </c>
      <c r="J1651" s="468">
        <v>0</v>
      </c>
    </row>
    <row r="1652" spans="1:10" ht="12.75" outlineLevel="2">
      <c r="A1652" s="645">
        <v>2142118098</v>
      </c>
      <c r="B1652" s="635" t="s">
        <v>1473</v>
      </c>
      <c r="C1652" s="635" t="s">
        <v>1777</v>
      </c>
      <c r="D1652" s="635"/>
      <c r="E1652" s="635" t="s">
        <v>1494</v>
      </c>
      <c r="F1652" s="465" t="s">
        <v>1845</v>
      </c>
      <c r="G1652" s="466">
        <v>0.54</v>
      </c>
      <c r="H1652" s="466">
        <v>0.66</v>
      </c>
      <c r="I1652" s="467">
        <v>0.628</v>
      </c>
      <c r="J1652" s="468">
        <v>0.032</v>
      </c>
    </row>
    <row r="1653" spans="1:10" ht="12.75" outlineLevel="2">
      <c r="A1653" s="645">
        <v>2142118099</v>
      </c>
      <c r="B1653" s="635" t="s">
        <v>2296</v>
      </c>
      <c r="C1653" s="635" t="s">
        <v>1777</v>
      </c>
      <c r="D1653" s="635"/>
      <c r="E1653" s="635" t="s">
        <v>1494</v>
      </c>
      <c r="F1653" s="465" t="s">
        <v>1845</v>
      </c>
      <c r="G1653" s="466">
        <v>0.35</v>
      </c>
      <c r="H1653" s="466">
        <v>0.35</v>
      </c>
      <c r="I1653" s="467">
        <v>0.35</v>
      </c>
      <c r="J1653" s="468">
        <v>0</v>
      </c>
    </row>
    <row r="1654" spans="1:10" ht="12.75" outlineLevel="2">
      <c r="A1654" s="645">
        <v>2142118100</v>
      </c>
      <c r="B1654" s="635" t="s">
        <v>2297</v>
      </c>
      <c r="C1654" s="635" t="s">
        <v>1777</v>
      </c>
      <c r="D1654" s="635"/>
      <c r="E1654" s="635" t="s">
        <v>1494</v>
      </c>
      <c r="F1654" s="465" t="s">
        <v>1845</v>
      </c>
      <c r="G1654" s="466">
        <v>0.49</v>
      </c>
      <c r="H1654" s="466">
        <v>0.665</v>
      </c>
      <c r="I1654" s="467">
        <v>0.662</v>
      </c>
      <c r="J1654" s="468">
        <v>0.003</v>
      </c>
    </row>
    <row r="1655" spans="1:10" ht="12.75" outlineLevel="2">
      <c r="A1655" s="645">
        <v>2142118101</v>
      </c>
      <c r="B1655" s="635" t="s">
        <v>2298</v>
      </c>
      <c r="C1655" s="635" t="s">
        <v>1777</v>
      </c>
      <c r="D1655" s="635"/>
      <c r="E1655" s="635" t="s">
        <v>1494</v>
      </c>
      <c r="F1655" s="465" t="s">
        <v>1845</v>
      </c>
      <c r="G1655" s="466">
        <v>0.44</v>
      </c>
      <c r="H1655" s="466">
        <v>0.34</v>
      </c>
      <c r="I1655" s="467">
        <v>0.339</v>
      </c>
      <c r="J1655" s="468">
        <v>0.001</v>
      </c>
    </row>
    <row r="1656" spans="1:10" ht="12.75" outlineLevel="2">
      <c r="A1656" s="645">
        <v>2142118102</v>
      </c>
      <c r="B1656" s="635" t="s">
        <v>2299</v>
      </c>
      <c r="C1656" s="635" t="s">
        <v>1777</v>
      </c>
      <c r="D1656" s="635"/>
      <c r="E1656" s="635" t="s">
        <v>1494</v>
      </c>
      <c r="F1656" s="465" t="s">
        <v>1845</v>
      </c>
      <c r="G1656" s="466">
        <v>0.25</v>
      </c>
      <c r="H1656" s="466">
        <v>0.25</v>
      </c>
      <c r="I1656" s="467">
        <v>0.249</v>
      </c>
      <c r="J1656" s="468">
        <v>0.001</v>
      </c>
    </row>
    <row r="1657" spans="1:10" ht="12.75" outlineLevel="2">
      <c r="A1657" s="645">
        <v>2142118103</v>
      </c>
      <c r="B1657" s="635" t="s">
        <v>2300</v>
      </c>
      <c r="C1657" s="635" t="s">
        <v>1777</v>
      </c>
      <c r="D1657" s="635"/>
      <c r="E1657" s="635" t="s">
        <v>1494</v>
      </c>
      <c r="F1657" s="465" t="s">
        <v>1845</v>
      </c>
      <c r="G1657" s="466">
        <v>0.2</v>
      </c>
      <c r="H1657" s="466">
        <v>0.2</v>
      </c>
      <c r="I1657" s="467">
        <v>0.198</v>
      </c>
      <c r="J1657" s="468">
        <v>0.002</v>
      </c>
    </row>
    <row r="1658" spans="1:10" ht="12.75" outlineLevel="2">
      <c r="A1658" s="645">
        <v>2142118104</v>
      </c>
      <c r="B1658" s="635" t="s">
        <v>2301</v>
      </c>
      <c r="C1658" s="635" t="s">
        <v>1777</v>
      </c>
      <c r="D1658" s="635"/>
      <c r="E1658" s="635" t="s">
        <v>1494</v>
      </c>
      <c r="F1658" s="465" t="s">
        <v>1845</v>
      </c>
      <c r="G1658" s="466">
        <v>0.15</v>
      </c>
      <c r="H1658" s="466">
        <v>0.15</v>
      </c>
      <c r="I1658" s="467">
        <v>0.147</v>
      </c>
      <c r="J1658" s="468">
        <v>0.003</v>
      </c>
    </row>
    <row r="1659" spans="1:10" ht="12.75" outlineLevel="2">
      <c r="A1659" s="645">
        <v>2142118105</v>
      </c>
      <c r="B1659" s="635" t="s">
        <v>2302</v>
      </c>
      <c r="C1659" s="635" t="s">
        <v>1777</v>
      </c>
      <c r="D1659" s="635"/>
      <c r="E1659" s="635" t="s">
        <v>1494</v>
      </c>
      <c r="F1659" s="465" t="s">
        <v>1845</v>
      </c>
      <c r="G1659" s="466">
        <v>0.64</v>
      </c>
      <c r="H1659" s="466">
        <v>0.64</v>
      </c>
      <c r="I1659" s="467">
        <v>0.522</v>
      </c>
      <c r="J1659" s="468">
        <v>0.118</v>
      </c>
    </row>
    <row r="1660" spans="1:10" ht="12.75" outlineLevel="2">
      <c r="A1660" s="645">
        <v>2142118106</v>
      </c>
      <c r="B1660" s="635" t="s">
        <v>2303</v>
      </c>
      <c r="C1660" s="635" t="s">
        <v>1777</v>
      </c>
      <c r="D1660" s="635"/>
      <c r="E1660" s="635" t="s">
        <v>1494</v>
      </c>
      <c r="F1660" s="465" t="s">
        <v>1845</v>
      </c>
      <c r="G1660" s="466">
        <v>0.01</v>
      </c>
      <c r="H1660" s="466">
        <v>0.01</v>
      </c>
      <c r="I1660" s="467">
        <v>0.01</v>
      </c>
      <c r="J1660" s="468">
        <v>0</v>
      </c>
    </row>
    <row r="1661" spans="1:10" ht="12.75" outlineLevel="2">
      <c r="A1661" s="645">
        <v>2142118107</v>
      </c>
      <c r="B1661" s="635" t="s">
        <v>2304</v>
      </c>
      <c r="C1661" s="635" t="s">
        <v>1777</v>
      </c>
      <c r="D1661" s="635"/>
      <c r="E1661" s="635" t="s">
        <v>1494</v>
      </c>
      <c r="F1661" s="465" t="s">
        <v>1845</v>
      </c>
      <c r="G1661" s="466">
        <v>0.12</v>
      </c>
      <c r="H1661" s="466">
        <v>0.12</v>
      </c>
      <c r="I1661" s="467">
        <v>0.12</v>
      </c>
      <c r="J1661" s="468">
        <v>0</v>
      </c>
    </row>
    <row r="1662" spans="1:10" ht="12.75" outlineLevel="2">
      <c r="A1662" s="645">
        <v>2142118108</v>
      </c>
      <c r="B1662" s="635" t="s">
        <v>2305</v>
      </c>
      <c r="C1662" s="635" t="s">
        <v>1777</v>
      </c>
      <c r="D1662" s="635"/>
      <c r="E1662" s="635" t="s">
        <v>1494</v>
      </c>
      <c r="F1662" s="465" t="s">
        <v>1845</v>
      </c>
      <c r="G1662" s="466">
        <v>0.15</v>
      </c>
      <c r="H1662" s="466">
        <v>0.15</v>
      </c>
      <c r="I1662" s="467">
        <v>0.149</v>
      </c>
      <c r="J1662" s="468">
        <v>0.001</v>
      </c>
    </row>
    <row r="1663" spans="1:10" ht="12.75" outlineLevel="2">
      <c r="A1663" s="645">
        <v>2142118109</v>
      </c>
      <c r="B1663" s="635" t="s">
        <v>2306</v>
      </c>
      <c r="C1663" s="635" t="s">
        <v>1777</v>
      </c>
      <c r="D1663" s="635"/>
      <c r="E1663" s="635" t="s">
        <v>1494</v>
      </c>
      <c r="F1663" s="465" t="s">
        <v>1845</v>
      </c>
      <c r="G1663" s="466">
        <v>0.45</v>
      </c>
      <c r="H1663" s="466">
        <v>0.45</v>
      </c>
      <c r="I1663" s="467">
        <v>0.45</v>
      </c>
      <c r="J1663" s="468">
        <v>0</v>
      </c>
    </row>
    <row r="1664" spans="1:10" ht="12.75" outlineLevel="2">
      <c r="A1664" s="645">
        <v>2142118110</v>
      </c>
      <c r="B1664" s="635" t="s">
        <v>2307</v>
      </c>
      <c r="C1664" s="635" t="s">
        <v>1777</v>
      </c>
      <c r="D1664" s="635"/>
      <c r="E1664" s="635" t="s">
        <v>1494</v>
      </c>
      <c r="F1664" s="465" t="s">
        <v>1845</v>
      </c>
      <c r="G1664" s="466">
        <v>0.25</v>
      </c>
      <c r="H1664" s="466">
        <v>0.25</v>
      </c>
      <c r="I1664" s="467">
        <v>0.25</v>
      </c>
      <c r="J1664" s="468">
        <v>0</v>
      </c>
    </row>
    <row r="1665" spans="1:10" ht="12.75" outlineLevel="2">
      <c r="A1665" s="645">
        <v>2142118111</v>
      </c>
      <c r="B1665" s="635" t="s">
        <v>2308</v>
      </c>
      <c r="C1665" s="635" t="s">
        <v>1777</v>
      </c>
      <c r="D1665" s="635"/>
      <c r="E1665" s="635" t="s">
        <v>1494</v>
      </c>
      <c r="F1665" s="465" t="s">
        <v>1845</v>
      </c>
      <c r="G1665" s="466">
        <v>0.244</v>
      </c>
      <c r="H1665" s="466">
        <v>0.174</v>
      </c>
      <c r="I1665" s="467">
        <v>0.174</v>
      </c>
      <c r="J1665" s="468">
        <v>0</v>
      </c>
    </row>
    <row r="1666" spans="1:10" ht="12.75" outlineLevel="2">
      <c r="A1666" s="645">
        <v>2142118112</v>
      </c>
      <c r="B1666" s="635" t="s">
        <v>2309</v>
      </c>
      <c r="C1666" s="635" t="s">
        <v>1777</v>
      </c>
      <c r="D1666" s="635"/>
      <c r="E1666" s="635" t="s">
        <v>1494</v>
      </c>
      <c r="F1666" s="465" t="s">
        <v>1845</v>
      </c>
      <c r="G1666" s="466">
        <v>0.086</v>
      </c>
      <c r="H1666" s="466">
        <v>0.086</v>
      </c>
      <c r="I1666" s="467">
        <v>0.086</v>
      </c>
      <c r="J1666" s="468">
        <v>0</v>
      </c>
    </row>
    <row r="1667" spans="1:10" ht="12.75" outlineLevel="2">
      <c r="A1667" s="645">
        <v>2142118113</v>
      </c>
      <c r="B1667" s="635" t="s">
        <v>2310</v>
      </c>
      <c r="C1667" s="635" t="s">
        <v>1777</v>
      </c>
      <c r="D1667" s="635"/>
      <c r="E1667" s="635" t="s">
        <v>1494</v>
      </c>
      <c r="F1667" s="465" t="s">
        <v>1845</v>
      </c>
      <c r="G1667" s="466">
        <v>0.04</v>
      </c>
      <c r="H1667" s="466">
        <v>0.11</v>
      </c>
      <c r="I1667" s="467">
        <v>0.11</v>
      </c>
      <c r="J1667" s="468">
        <v>0</v>
      </c>
    </row>
    <row r="1668" spans="1:10" ht="12.75" outlineLevel="2">
      <c r="A1668" s="645">
        <v>2142118114</v>
      </c>
      <c r="B1668" s="635" t="s">
        <v>2311</v>
      </c>
      <c r="C1668" s="635" t="s">
        <v>1777</v>
      </c>
      <c r="D1668" s="635"/>
      <c r="E1668" s="635" t="s">
        <v>1494</v>
      </c>
      <c r="F1668" s="465" t="s">
        <v>1845</v>
      </c>
      <c r="G1668" s="466">
        <v>0.27</v>
      </c>
      <c r="H1668" s="466">
        <v>0.27</v>
      </c>
      <c r="I1668" s="467">
        <v>0.259</v>
      </c>
      <c r="J1668" s="468">
        <v>0.011</v>
      </c>
    </row>
    <row r="1669" spans="1:10" ht="12.75" outlineLevel="2">
      <c r="A1669" s="645">
        <v>2142118115</v>
      </c>
      <c r="B1669" s="635" t="s">
        <v>2312</v>
      </c>
      <c r="C1669" s="635" t="s">
        <v>1777</v>
      </c>
      <c r="D1669" s="635"/>
      <c r="E1669" s="635" t="s">
        <v>1494</v>
      </c>
      <c r="F1669" s="465" t="s">
        <v>1845</v>
      </c>
      <c r="G1669" s="466">
        <v>0.16</v>
      </c>
      <c r="H1669" s="466">
        <v>0.086</v>
      </c>
      <c r="I1669" s="467">
        <v>0.085</v>
      </c>
      <c r="J1669" s="468">
        <v>0.001</v>
      </c>
    </row>
    <row r="1670" spans="1:10" ht="12.75" outlineLevel="2">
      <c r="A1670" s="645">
        <v>2142118116</v>
      </c>
      <c r="B1670" s="635" t="s">
        <v>2313</v>
      </c>
      <c r="C1670" s="635" t="s">
        <v>1777</v>
      </c>
      <c r="D1670" s="635"/>
      <c r="E1670" s="635" t="s">
        <v>1494</v>
      </c>
      <c r="F1670" s="465" t="s">
        <v>1845</v>
      </c>
      <c r="G1670" s="466">
        <v>0.3</v>
      </c>
      <c r="H1670" s="466">
        <v>0.27</v>
      </c>
      <c r="I1670" s="467">
        <v>0.267</v>
      </c>
      <c r="J1670" s="468">
        <v>0.003</v>
      </c>
    </row>
    <row r="1671" spans="1:10" ht="12.75" outlineLevel="2">
      <c r="A1671" s="645">
        <v>2142118117</v>
      </c>
      <c r="B1671" s="635" t="s">
        <v>2314</v>
      </c>
      <c r="C1671" s="635" t="s">
        <v>1777</v>
      </c>
      <c r="D1671" s="635"/>
      <c r="E1671" s="635" t="s">
        <v>1494</v>
      </c>
      <c r="F1671" s="465" t="s">
        <v>1845</v>
      </c>
      <c r="G1671" s="466">
        <v>0.175</v>
      </c>
      <c r="H1671" s="466">
        <v>0.102</v>
      </c>
      <c r="I1671" s="467">
        <v>0.102</v>
      </c>
      <c r="J1671" s="468">
        <v>0</v>
      </c>
    </row>
    <row r="1672" spans="1:10" ht="12.75" outlineLevel="2">
      <c r="A1672" s="645">
        <v>2142118118</v>
      </c>
      <c r="B1672" s="635" t="s">
        <v>2315</v>
      </c>
      <c r="C1672" s="635" t="s">
        <v>1777</v>
      </c>
      <c r="D1672" s="635"/>
      <c r="E1672" s="635" t="s">
        <v>1494</v>
      </c>
      <c r="F1672" s="465" t="s">
        <v>1845</v>
      </c>
      <c r="G1672" s="466">
        <v>0.165</v>
      </c>
      <c r="H1672" s="466">
        <v>0.342</v>
      </c>
      <c r="I1672" s="467">
        <v>0.342</v>
      </c>
      <c r="J1672" s="468">
        <v>0</v>
      </c>
    </row>
    <row r="1673" spans="1:10" ht="12.75" outlineLevel="2">
      <c r="A1673" s="645">
        <v>2142118119</v>
      </c>
      <c r="B1673" s="635" t="s">
        <v>2316</v>
      </c>
      <c r="C1673" s="635" t="s">
        <v>1777</v>
      </c>
      <c r="D1673" s="635"/>
      <c r="E1673" s="635" t="s">
        <v>1494</v>
      </c>
      <c r="F1673" s="465" t="s">
        <v>1845</v>
      </c>
      <c r="G1673" s="466">
        <v>0.178</v>
      </c>
      <c r="H1673" s="466">
        <v>0.178</v>
      </c>
      <c r="I1673" s="467">
        <v>0.15</v>
      </c>
      <c r="J1673" s="468">
        <v>0.028</v>
      </c>
    </row>
    <row r="1674" spans="1:10" ht="12.75" outlineLevel="2">
      <c r="A1674" s="645">
        <v>2142118120</v>
      </c>
      <c r="B1674" s="635" t="s">
        <v>2317</v>
      </c>
      <c r="C1674" s="635" t="s">
        <v>1777</v>
      </c>
      <c r="D1674" s="635"/>
      <c r="E1674" s="635" t="s">
        <v>1494</v>
      </c>
      <c r="F1674" s="465" t="s">
        <v>1845</v>
      </c>
      <c r="G1674" s="466">
        <v>1.11</v>
      </c>
      <c r="H1674" s="466">
        <v>1.11</v>
      </c>
      <c r="I1674" s="467">
        <v>1.105</v>
      </c>
      <c r="J1674" s="468">
        <v>0.005</v>
      </c>
    </row>
    <row r="1675" spans="1:10" ht="12.75" outlineLevel="2">
      <c r="A1675" s="645">
        <v>2142118121</v>
      </c>
      <c r="B1675" s="635" t="s">
        <v>2318</v>
      </c>
      <c r="C1675" s="635" t="s">
        <v>1777</v>
      </c>
      <c r="D1675" s="635"/>
      <c r="E1675" s="635" t="s">
        <v>1494</v>
      </c>
      <c r="F1675" s="465" t="s">
        <v>1845</v>
      </c>
      <c r="G1675" s="466">
        <v>0.65</v>
      </c>
      <c r="H1675" s="466">
        <v>0.65</v>
      </c>
      <c r="I1675" s="467">
        <v>0.65</v>
      </c>
      <c r="J1675" s="468">
        <v>0</v>
      </c>
    </row>
    <row r="1676" spans="1:10" ht="12.75" outlineLevel="2">
      <c r="A1676" s="645">
        <v>2142118122</v>
      </c>
      <c r="B1676" s="635" t="s">
        <v>2319</v>
      </c>
      <c r="C1676" s="635" t="s">
        <v>1777</v>
      </c>
      <c r="D1676" s="635"/>
      <c r="E1676" s="635" t="s">
        <v>1494</v>
      </c>
      <c r="F1676" s="465" t="s">
        <v>1845</v>
      </c>
      <c r="G1676" s="466">
        <v>0.26</v>
      </c>
      <c r="H1676" s="466">
        <v>0.26</v>
      </c>
      <c r="I1676" s="467">
        <v>0.26</v>
      </c>
      <c r="J1676" s="468">
        <v>0</v>
      </c>
    </row>
    <row r="1677" spans="1:10" ht="12.75" outlineLevel="2">
      <c r="A1677" s="645">
        <v>2142118123</v>
      </c>
      <c r="B1677" s="635" t="s">
        <v>2320</v>
      </c>
      <c r="C1677" s="635" t="s">
        <v>1777</v>
      </c>
      <c r="D1677" s="635"/>
      <c r="E1677" s="635" t="s">
        <v>1494</v>
      </c>
      <c r="F1677" s="465" t="s">
        <v>1845</v>
      </c>
      <c r="G1677" s="466">
        <v>0.07</v>
      </c>
      <c r="H1677" s="466">
        <v>0.07</v>
      </c>
      <c r="I1677" s="467">
        <v>0.07</v>
      </c>
      <c r="J1677" s="468">
        <v>0</v>
      </c>
    </row>
    <row r="1678" spans="1:10" ht="12.75" outlineLevel="2">
      <c r="A1678" s="645">
        <v>2142118124</v>
      </c>
      <c r="B1678" s="635" t="s">
        <v>2321</v>
      </c>
      <c r="C1678" s="635" t="s">
        <v>1777</v>
      </c>
      <c r="D1678" s="635"/>
      <c r="E1678" s="635" t="s">
        <v>1494</v>
      </c>
      <c r="F1678" s="465" t="s">
        <v>1845</v>
      </c>
      <c r="G1678" s="466">
        <v>0.54</v>
      </c>
      <c r="H1678" s="466">
        <v>0.44</v>
      </c>
      <c r="I1678" s="467">
        <v>0.439</v>
      </c>
      <c r="J1678" s="468">
        <v>0.001</v>
      </c>
    </row>
    <row r="1679" spans="1:10" ht="12.75" outlineLevel="2">
      <c r="A1679" s="645">
        <v>2142118125</v>
      </c>
      <c r="B1679" s="635" t="s">
        <v>2322</v>
      </c>
      <c r="C1679" s="635" t="s">
        <v>1777</v>
      </c>
      <c r="D1679" s="635"/>
      <c r="E1679" s="635" t="s">
        <v>1494</v>
      </c>
      <c r="F1679" s="465" t="s">
        <v>1845</v>
      </c>
      <c r="G1679" s="466">
        <v>0.28</v>
      </c>
      <c r="H1679" s="466">
        <v>0.28</v>
      </c>
      <c r="I1679" s="467">
        <v>0.28</v>
      </c>
      <c r="J1679" s="468">
        <v>0</v>
      </c>
    </row>
    <row r="1680" spans="1:10" ht="12.75" outlineLevel="2">
      <c r="A1680" s="645">
        <v>2142118126</v>
      </c>
      <c r="B1680" s="635" t="s">
        <v>2323</v>
      </c>
      <c r="C1680" s="635" t="s">
        <v>1777</v>
      </c>
      <c r="D1680" s="635"/>
      <c r="E1680" s="635" t="s">
        <v>1494</v>
      </c>
      <c r="F1680" s="465" t="s">
        <v>1845</v>
      </c>
      <c r="G1680" s="466">
        <v>0.05</v>
      </c>
      <c r="H1680" s="466">
        <v>0.05</v>
      </c>
      <c r="I1680" s="467">
        <v>0.05</v>
      </c>
      <c r="J1680" s="468">
        <v>0</v>
      </c>
    </row>
    <row r="1681" spans="1:10" ht="12.75" outlineLevel="2">
      <c r="A1681" s="645">
        <v>2142118127</v>
      </c>
      <c r="B1681" s="635" t="s">
        <v>2324</v>
      </c>
      <c r="C1681" s="635" t="s">
        <v>1777</v>
      </c>
      <c r="D1681" s="635"/>
      <c r="E1681" s="635" t="s">
        <v>1494</v>
      </c>
      <c r="F1681" s="465" t="s">
        <v>1845</v>
      </c>
      <c r="G1681" s="466">
        <v>0.31</v>
      </c>
      <c r="H1681" s="466">
        <v>0.31</v>
      </c>
      <c r="I1681" s="467">
        <v>0.31</v>
      </c>
      <c r="J1681" s="468">
        <v>0</v>
      </c>
    </row>
    <row r="1682" spans="1:10" ht="12.75" outlineLevel="2">
      <c r="A1682" s="645">
        <v>2142118128</v>
      </c>
      <c r="B1682" s="635" t="s">
        <v>2325</v>
      </c>
      <c r="C1682" s="635" t="s">
        <v>1541</v>
      </c>
      <c r="D1682" s="635"/>
      <c r="E1682" s="635" t="s">
        <v>1494</v>
      </c>
      <c r="F1682" s="465" t="s">
        <v>1845</v>
      </c>
      <c r="G1682" s="466">
        <v>0.07</v>
      </c>
      <c r="H1682" s="466">
        <v>0.025</v>
      </c>
      <c r="I1682" s="467">
        <v>0.025</v>
      </c>
      <c r="J1682" s="468">
        <v>0</v>
      </c>
    </row>
    <row r="1683" spans="1:10" ht="12.75" outlineLevel="2">
      <c r="A1683" s="645">
        <v>2142118129</v>
      </c>
      <c r="B1683" s="635" t="s">
        <v>2326</v>
      </c>
      <c r="C1683" s="635" t="s">
        <v>1541</v>
      </c>
      <c r="D1683" s="635"/>
      <c r="E1683" s="635" t="s">
        <v>1494</v>
      </c>
      <c r="F1683" s="465" t="s">
        <v>1845</v>
      </c>
      <c r="G1683" s="466">
        <v>0.2</v>
      </c>
      <c r="H1683" s="466">
        <v>0.145</v>
      </c>
      <c r="I1683" s="467">
        <v>0.14</v>
      </c>
      <c r="J1683" s="468">
        <v>0.005</v>
      </c>
    </row>
    <row r="1684" spans="1:10" ht="12.75" outlineLevel="2">
      <c r="A1684" s="645">
        <v>2142118130</v>
      </c>
      <c r="B1684" s="635" t="s">
        <v>557</v>
      </c>
      <c r="C1684" s="635" t="s">
        <v>1541</v>
      </c>
      <c r="D1684" s="635"/>
      <c r="E1684" s="635" t="s">
        <v>1494</v>
      </c>
      <c r="F1684" s="465" t="s">
        <v>1845</v>
      </c>
      <c r="G1684" s="466">
        <v>0.01</v>
      </c>
      <c r="H1684" s="466">
        <v>0.01</v>
      </c>
      <c r="I1684" s="467">
        <v>0.006</v>
      </c>
      <c r="J1684" s="468">
        <v>0.004</v>
      </c>
    </row>
    <row r="1685" spans="1:10" ht="12.75" outlineLevel="2">
      <c r="A1685" s="645">
        <v>2142118131</v>
      </c>
      <c r="B1685" s="635" t="s">
        <v>2327</v>
      </c>
      <c r="C1685" s="635" t="s">
        <v>1541</v>
      </c>
      <c r="D1685" s="635"/>
      <c r="E1685" s="635" t="s">
        <v>1494</v>
      </c>
      <c r="F1685" s="465" t="s">
        <v>1845</v>
      </c>
      <c r="G1685" s="466">
        <v>0.1</v>
      </c>
      <c r="H1685" s="466">
        <v>0.1</v>
      </c>
      <c r="I1685" s="467">
        <v>0.099</v>
      </c>
      <c r="J1685" s="468">
        <v>0.001</v>
      </c>
    </row>
    <row r="1686" spans="1:10" ht="12.75" outlineLevel="2">
      <c r="A1686" s="645">
        <v>2142118132</v>
      </c>
      <c r="B1686" s="635" t="s">
        <v>2328</v>
      </c>
      <c r="C1686" s="635" t="s">
        <v>1541</v>
      </c>
      <c r="D1686" s="635"/>
      <c r="E1686" s="635" t="s">
        <v>1494</v>
      </c>
      <c r="F1686" s="465" t="s">
        <v>1845</v>
      </c>
      <c r="G1686" s="466">
        <v>0.43</v>
      </c>
      <c r="H1686" s="466">
        <v>0.349</v>
      </c>
      <c r="I1686" s="467">
        <v>0.348</v>
      </c>
      <c r="J1686" s="468">
        <v>0.001</v>
      </c>
    </row>
    <row r="1687" spans="1:10" ht="12.75" outlineLevel="2">
      <c r="A1687" s="645">
        <v>2142118133</v>
      </c>
      <c r="B1687" s="635" t="s">
        <v>2329</v>
      </c>
      <c r="C1687" s="635" t="s">
        <v>1541</v>
      </c>
      <c r="D1687" s="635"/>
      <c r="E1687" s="635" t="s">
        <v>1494</v>
      </c>
      <c r="F1687" s="465" t="s">
        <v>96</v>
      </c>
      <c r="G1687" s="466">
        <v>0.2</v>
      </c>
      <c r="H1687" s="466">
        <v>0.18</v>
      </c>
      <c r="I1687" s="467">
        <v>0.18</v>
      </c>
      <c r="J1687" s="468">
        <v>0</v>
      </c>
    </row>
    <row r="1688" spans="1:10" ht="12.75" outlineLevel="2">
      <c r="A1688" s="645">
        <v>2142118134</v>
      </c>
      <c r="B1688" s="635" t="s">
        <v>607</v>
      </c>
      <c r="C1688" s="635" t="s">
        <v>1780</v>
      </c>
      <c r="D1688" s="635"/>
      <c r="E1688" s="635" t="s">
        <v>1494</v>
      </c>
      <c r="F1688" s="465" t="s">
        <v>1845</v>
      </c>
      <c r="G1688" s="466">
        <v>3.39</v>
      </c>
      <c r="H1688" s="466">
        <v>3.39</v>
      </c>
      <c r="I1688" s="467">
        <v>3.388</v>
      </c>
      <c r="J1688" s="468">
        <v>0.002</v>
      </c>
    </row>
    <row r="1689" spans="1:10" ht="12.75" outlineLevel="2">
      <c r="A1689" s="645">
        <v>2142118135</v>
      </c>
      <c r="B1689" s="635" t="s">
        <v>2330</v>
      </c>
      <c r="C1689" s="635" t="s">
        <v>1780</v>
      </c>
      <c r="D1689" s="635"/>
      <c r="E1689" s="635" t="s">
        <v>1494</v>
      </c>
      <c r="F1689" s="465" t="s">
        <v>1845</v>
      </c>
      <c r="G1689" s="466">
        <v>7.2</v>
      </c>
      <c r="H1689" s="466">
        <v>7.2</v>
      </c>
      <c r="I1689" s="467">
        <v>7.2</v>
      </c>
      <c r="J1689" s="468">
        <v>0</v>
      </c>
    </row>
    <row r="1690" spans="1:10" ht="12.75" outlineLevel="2">
      <c r="A1690" s="645">
        <v>2142118136</v>
      </c>
      <c r="B1690" s="635" t="s">
        <v>2331</v>
      </c>
      <c r="C1690" s="635" t="s">
        <v>1780</v>
      </c>
      <c r="D1690" s="635"/>
      <c r="E1690" s="635" t="s">
        <v>1494</v>
      </c>
      <c r="F1690" s="465" t="s">
        <v>1845</v>
      </c>
      <c r="G1690" s="466">
        <v>0.05</v>
      </c>
      <c r="H1690" s="466">
        <v>0.05</v>
      </c>
      <c r="I1690" s="467">
        <v>0.031</v>
      </c>
      <c r="J1690" s="468">
        <v>0.019</v>
      </c>
    </row>
    <row r="1691" spans="1:10" ht="12.75" outlineLevel="2">
      <c r="A1691" s="645">
        <v>2142118137</v>
      </c>
      <c r="B1691" s="635" t="s">
        <v>2332</v>
      </c>
      <c r="C1691" s="635" t="s">
        <v>1780</v>
      </c>
      <c r="D1691" s="635"/>
      <c r="E1691" s="635" t="s">
        <v>1494</v>
      </c>
      <c r="F1691" s="465" t="s">
        <v>1845</v>
      </c>
      <c r="G1691" s="466">
        <v>2.96</v>
      </c>
      <c r="H1691" s="466">
        <v>1.16</v>
      </c>
      <c r="I1691" s="467">
        <v>1.159</v>
      </c>
      <c r="J1691" s="468">
        <v>0.001</v>
      </c>
    </row>
    <row r="1692" spans="1:10" ht="12.75" outlineLevel="2">
      <c r="A1692" s="645">
        <v>2142118138</v>
      </c>
      <c r="B1692" s="635" t="s">
        <v>417</v>
      </c>
      <c r="C1692" s="635" t="s">
        <v>1780</v>
      </c>
      <c r="D1692" s="635"/>
      <c r="E1692" s="635" t="s">
        <v>1494</v>
      </c>
      <c r="F1692" s="465" t="s">
        <v>1845</v>
      </c>
      <c r="G1692" s="466">
        <v>0.05</v>
      </c>
      <c r="H1692" s="466">
        <v>0.049</v>
      </c>
      <c r="I1692" s="467">
        <v>0.047</v>
      </c>
      <c r="J1692" s="468">
        <v>0.002</v>
      </c>
    </row>
    <row r="1693" spans="1:10" ht="12.75" outlineLevel="2">
      <c r="A1693" s="645">
        <v>2142118139</v>
      </c>
      <c r="B1693" s="635" t="s">
        <v>2333</v>
      </c>
      <c r="C1693" s="635" t="s">
        <v>1802</v>
      </c>
      <c r="D1693" s="635"/>
      <c r="E1693" s="635" t="s">
        <v>1494</v>
      </c>
      <c r="F1693" s="465" t="s">
        <v>1845</v>
      </c>
      <c r="G1693" s="466">
        <v>4.687</v>
      </c>
      <c r="H1693" s="466">
        <v>4.687</v>
      </c>
      <c r="I1693" s="467">
        <v>4.681</v>
      </c>
      <c r="J1693" s="468">
        <v>0.006</v>
      </c>
    </row>
    <row r="1694" spans="1:10" ht="12.75" outlineLevel="2">
      <c r="A1694" s="645">
        <v>2142118140</v>
      </c>
      <c r="B1694" s="635" t="s">
        <v>2332</v>
      </c>
      <c r="C1694" s="635" t="s">
        <v>1802</v>
      </c>
      <c r="D1694" s="635"/>
      <c r="E1694" s="635" t="s">
        <v>1494</v>
      </c>
      <c r="F1694" s="465" t="s">
        <v>1845</v>
      </c>
      <c r="G1694" s="466">
        <v>2.014</v>
      </c>
      <c r="H1694" s="466">
        <v>2.814</v>
      </c>
      <c r="I1694" s="467">
        <v>2.814</v>
      </c>
      <c r="J1694" s="468">
        <v>0</v>
      </c>
    </row>
    <row r="1695" spans="1:10" ht="12.75" outlineLevel="2">
      <c r="A1695" s="645">
        <v>2142118141</v>
      </c>
      <c r="B1695" s="635" t="s">
        <v>607</v>
      </c>
      <c r="C1695" s="635" t="s">
        <v>1802</v>
      </c>
      <c r="D1695" s="635"/>
      <c r="E1695" s="635" t="s">
        <v>1494</v>
      </c>
      <c r="F1695" s="465" t="s">
        <v>1845</v>
      </c>
      <c r="G1695" s="466">
        <v>6.002</v>
      </c>
      <c r="H1695" s="466">
        <v>5.302</v>
      </c>
      <c r="I1695" s="467">
        <v>5.293</v>
      </c>
      <c r="J1695" s="468">
        <v>0.009</v>
      </c>
    </row>
    <row r="1696" spans="1:10" ht="12.75" outlineLevel="2">
      <c r="A1696" s="645">
        <v>2142118142</v>
      </c>
      <c r="B1696" s="635" t="s">
        <v>2330</v>
      </c>
      <c r="C1696" s="635" t="s">
        <v>1802</v>
      </c>
      <c r="D1696" s="635"/>
      <c r="E1696" s="635" t="s">
        <v>1494</v>
      </c>
      <c r="F1696" s="465" t="s">
        <v>1845</v>
      </c>
      <c r="G1696" s="466">
        <v>6.237</v>
      </c>
      <c r="H1696" s="466">
        <v>6.137</v>
      </c>
      <c r="I1696" s="467">
        <v>6.137</v>
      </c>
      <c r="J1696" s="468">
        <v>0</v>
      </c>
    </row>
    <row r="1697" spans="1:10" ht="12.75" outlineLevel="2">
      <c r="A1697" s="645">
        <v>2142118143</v>
      </c>
      <c r="B1697" s="635" t="s">
        <v>417</v>
      </c>
      <c r="C1697" s="635" t="s">
        <v>1802</v>
      </c>
      <c r="D1697" s="635"/>
      <c r="E1697" s="635" t="s">
        <v>1494</v>
      </c>
      <c r="F1697" s="465" t="s">
        <v>1845</v>
      </c>
      <c r="G1697" s="466">
        <v>0.18</v>
      </c>
      <c r="H1697" s="466">
        <v>0.18</v>
      </c>
      <c r="I1697" s="467">
        <v>0.18</v>
      </c>
      <c r="J1697" s="468">
        <v>0</v>
      </c>
    </row>
    <row r="1698" spans="1:10" ht="12.75" outlineLevel="2">
      <c r="A1698" s="645">
        <v>2142118144</v>
      </c>
      <c r="B1698" s="635" t="s">
        <v>2334</v>
      </c>
      <c r="C1698" s="635" t="s">
        <v>1782</v>
      </c>
      <c r="D1698" s="635"/>
      <c r="E1698" s="635" t="s">
        <v>1494</v>
      </c>
      <c r="F1698" s="465" t="s">
        <v>1845</v>
      </c>
      <c r="G1698" s="466">
        <v>2.9</v>
      </c>
      <c r="H1698" s="466">
        <v>2.581</v>
      </c>
      <c r="I1698" s="467">
        <v>2.579</v>
      </c>
      <c r="J1698" s="468">
        <v>0.002</v>
      </c>
    </row>
    <row r="1699" spans="1:10" ht="12.75" outlineLevel="2">
      <c r="A1699" s="645">
        <v>2142118145</v>
      </c>
      <c r="B1699" s="635" t="s">
        <v>607</v>
      </c>
      <c r="C1699" s="635" t="s">
        <v>1782</v>
      </c>
      <c r="D1699" s="635"/>
      <c r="E1699" s="635" t="s">
        <v>1494</v>
      </c>
      <c r="F1699" s="465" t="s">
        <v>1845</v>
      </c>
      <c r="G1699" s="466">
        <v>2.9</v>
      </c>
      <c r="H1699" s="466">
        <v>2.827</v>
      </c>
      <c r="I1699" s="467">
        <v>2.827</v>
      </c>
      <c r="J1699" s="468">
        <v>0</v>
      </c>
    </row>
    <row r="1700" spans="1:10" ht="12.75" outlineLevel="2">
      <c r="A1700" s="645">
        <v>2142118146</v>
      </c>
      <c r="B1700" s="635" t="s">
        <v>2330</v>
      </c>
      <c r="C1700" s="635" t="s">
        <v>1782</v>
      </c>
      <c r="D1700" s="635"/>
      <c r="E1700" s="635" t="s">
        <v>1494</v>
      </c>
      <c r="F1700" s="465" t="s">
        <v>1845</v>
      </c>
      <c r="G1700" s="466">
        <v>3.5</v>
      </c>
      <c r="H1700" s="466">
        <v>3.094</v>
      </c>
      <c r="I1700" s="467">
        <v>3.042</v>
      </c>
      <c r="J1700" s="468">
        <v>0.052</v>
      </c>
    </row>
    <row r="1701" spans="1:10" ht="12.75" outlineLevel="2">
      <c r="A1701" s="645">
        <v>2142118147</v>
      </c>
      <c r="B1701" s="635" t="s">
        <v>2332</v>
      </c>
      <c r="C1701" s="635" t="s">
        <v>1782</v>
      </c>
      <c r="D1701" s="635"/>
      <c r="E1701" s="635" t="s">
        <v>1494</v>
      </c>
      <c r="F1701" s="465" t="s">
        <v>1845</v>
      </c>
      <c r="G1701" s="466">
        <v>0.64</v>
      </c>
      <c r="H1701" s="466">
        <v>0.74</v>
      </c>
      <c r="I1701" s="467">
        <v>0.74</v>
      </c>
      <c r="J1701" s="468">
        <v>0</v>
      </c>
    </row>
    <row r="1702" spans="1:10" ht="12.75" outlineLevel="2">
      <c r="A1702" s="645">
        <v>2142118148</v>
      </c>
      <c r="B1702" s="635" t="s">
        <v>2331</v>
      </c>
      <c r="C1702" s="635" t="s">
        <v>1782</v>
      </c>
      <c r="D1702" s="635"/>
      <c r="E1702" s="635" t="s">
        <v>1494</v>
      </c>
      <c r="F1702" s="465" t="s">
        <v>1845</v>
      </c>
      <c r="G1702" s="466">
        <v>0.02</v>
      </c>
      <c r="H1702" s="466">
        <v>0.02</v>
      </c>
      <c r="I1702" s="467">
        <v>0.019</v>
      </c>
      <c r="J1702" s="468">
        <v>0.001</v>
      </c>
    </row>
    <row r="1703" spans="1:10" ht="12.75" outlineLevel="2">
      <c r="A1703" s="645">
        <v>2142118149</v>
      </c>
      <c r="B1703" s="635" t="s">
        <v>417</v>
      </c>
      <c r="C1703" s="635" t="s">
        <v>1782</v>
      </c>
      <c r="D1703" s="635"/>
      <c r="E1703" s="635" t="s">
        <v>1494</v>
      </c>
      <c r="F1703" s="465" t="s">
        <v>1845</v>
      </c>
      <c r="G1703" s="466">
        <v>0.04</v>
      </c>
      <c r="H1703" s="466">
        <v>0.04</v>
      </c>
      <c r="I1703" s="467">
        <v>0.04</v>
      </c>
      <c r="J1703" s="468">
        <v>0</v>
      </c>
    </row>
    <row r="1704" spans="1:10" ht="12.75" outlineLevel="2">
      <c r="A1704" s="645">
        <v>2142118150</v>
      </c>
      <c r="B1704" s="635" t="s">
        <v>607</v>
      </c>
      <c r="C1704" s="635" t="s">
        <v>1800</v>
      </c>
      <c r="D1704" s="635"/>
      <c r="E1704" s="635" t="s">
        <v>1494</v>
      </c>
      <c r="F1704" s="465" t="s">
        <v>1845</v>
      </c>
      <c r="G1704" s="466">
        <v>3.66</v>
      </c>
      <c r="H1704" s="466">
        <v>3.66</v>
      </c>
      <c r="I1704" s="467">
        <v>3.66</v>
      </c>
      <c r="J1704" s="468">
        <v>0</v>
      </c>
    </row>
    <row r="1705" spans="1:10" ht="12.75" outlineLevel="2">
      <c r="A1705" s="645">
        <v>2142118151</v>
      </c>
      <c r="B1705" s="635" t="s">
        <v>2335</v>
      </c>
      <c r="C1705" s="635" t="s">
        <v>1800</v>
      </c>
      <c r="D1705" s="635"/>
      <c r="E1705" s="635" t="s">
        <v>1494</v>
      </c>
      <c r="F1705" s="465" t="s">
        <v>1845</v>
      </c>
      <c r="G1705" s="466">
        <v>2.1</v>
      </c>
      <c r="H1705" s="466">
        <v>1.8</v>
      </c>
      <c r="I1705" s="467">
        <v>1.773</v>
      </c>
      <c r="J1705" s="468">
        <v>0.027</v>
      </c>
    </row>
    <row r="1706" spans="1:10" ht="12.75" outlineLevel="2">
      <c r="A1706" s="645">
        <v>2142118152</v>
      </c>
      <c r="B1706" s="635" t="s">
        <v>2331</v>
      </c>
      <c r="C1706" s="635" t="s">
        <v>1800</v>
      </c>
      <c r="D1706" s="635"/>
      <c r="E1706" s="635" t="s">
        <v>1494</v>
      </c>
      <c r="F1706" s="465" t="s">
        <v>1845</v>
      </c>
      <c r="G1706" s="466">
        <v>0.01</v>
      </c>
      <c r="H1706" s="466">
        <v>0.007</v>
      </c>
      <c r="I1706" s="467">
        <v>0.007</v>
      </c>
      <c r="J1706" s="468">
        <v>0</v>
      </c>
    </row>
    <row r="1707" spans="1:10" ht="12.75" outlineLevel="2">
      <c r="A1707" s="645">
        <v>2142118153</v>
      </c>
      <c r="B1707" s="635" t="s">
        <v>2332</v>
      </c>
      <c r="C1707" s="635" t="s">
        <v>1800</v>
      </c>
      <c r="D1707" s="635"/>
      <c r="E1707" s="635" t="s">
        <v>1494</v>
      </c>
      <c r="F1707" s="465" t="s">
        <v>1845</v>
      </c>
      <c r="G1707" s="466">
        <v>1.15</v>
      </c>
      <c r="H1707" s="466">
        <v>1.15</v>
      </c>
      <c r="I1707" s="467">
        <v>1.15</v>
      </c>
      <c r="J1707" s="468">
        <v>0</v>
      </c>
    </row>
    <row r="1708" spans="1:10" ht="12.75" outlineLevel="2">
      <c r="A1708" s="645">
        <v>2142118154</v>
      </c>
      <c r="B1708" s="635" t="s">
        <v>2328</v>
      </c>
      <c r="C1708" s="635" t="s">
        <v>1800</v>
      </c>
      <c r="D1708" s="635"/>
      <c r="E1708" s="635" t="s">
        <v>1494</v>
      </c>
      <c r="F1708" s="465" t="s">
        <v>1845</v>
      </c>
      <c r="G1708" s="466">
        <v>2.06</v>
      </c>
      <c r="H1708" s="466">
        <v>2.06</v>
      </c>
      <c r="I1708" s="467">
        <v>2.058</v>
      </c>
      <c r="J1708" s="468">
        <v>0.002</v>
      </c>
    </row>
    <row r="1709" spans="1:10" ht="12.75" outlineLevel="2">
      <c r="A1709" s="645">
        <v>2142118155</v>
      </c>
      <c r="B1709" s="635" t="s">
        <v>417</v>
      </c>
      <c r="C1709" s="635" t="s">
        <v>1800</v>
      </c>
      <c r="D1709" s="635"/>
      <c r="E1709" s="635" t="s">
        <v>1494</v>
      </c>
      <c r="F1709" s="465" t="s">
        <v>1845</v>
      </c>
      <c r="G1709" s="466">
        <v>0.02</v>
      </c>
      <c r="H1709" s="466">
        <v>0.02</v>
      </c>
      <c r="I1709" s="467">
        <v>0.019</v>
      </c>
      <c r="J1709" s="468">
        <v>0.001</v>
      </c>
    </row>
    <row r="1710" spans="1:10" ht="12.75" outlineLevel="2">
      <c r="A1710" s="645">
        <v>2142118156</v>
      </c>
      <c r="B1710" s="635" t="s">
        <v>2336</v>
      </c>
      <c r="C1710" s="635" t="s">
        <v>1786</v>
      </c>
      <c r="D1710" s="635"/>
      <c r="E1710" s="635" t="s">
        <v>1494</v>
      </c>
      <c r="F1710" s="465" t="s">
        <v>1845</v>
      </c>
      <c r="G1710" s="466">
        <v>1.199</v>
      </c>
      <c r="H1710" s="466">
        <v>1.199</v>
      </c>
      <c r="I1710" s="467">
        <v>1.197</v>
      </c>
      <c r="J1710" s="468">
        <v>0.002</v>
      </c>
    </row>
    <row r="1711" spans="1:10" ht="12.75" outlineLevel="2">
      <c r="A1711" s="645">
        <v>2142118157</v>
      </c>
      <c r="B1711" s="635" t="s">
        <v>2332</v>
      </c>
      <c r="C1711" s="635" t="s">
        <v>1786</v>
      </c>
      <c r="D1711" s="635"/>
      <c r="E1711" s="635" t="s">
        <v>1494</v>
      </c>
      <c r="F1711" s="465" t="s">
        <v>1845</v>
      </c>
      <c r="G1711" s="466">
        <v>0.58</v>
      </c>
      <c r="H1711" s="466">
        <v>0.58</v>
      </c>
      <c r="I1711" s="467">
        <v>0.575</v>
      </c>
      <c r="J1711" s="468">
        <v>0.005</v>
      </c>
    </row>
    <row r="1712" spans="1:10" ht="12.75" outlineLevel="2">
      <c r="A1712" s="645">
        <v>2142118158</v>
      </c>
      <c r="B1712" s="635" t="s">
        <v>607</v>
      </c>
      <c r="C1712" s="635" t="s">
        <v>1786</v>
      </c>
      <c r="D1712" s="635"/>
      <c r="E1712" s="635" t="s">
        <v>1494</v>
      </c>
      <c r="F1712" s="465" t="s">
        <v>1845</v>
      </c>
      <c r="G1712" s="466">
        <v>1.985</v>
      </c>
      <c r="H1712" s="466">
        <v>2.276</v>
      </c>
      <c r="I1712" s="467">
        <v>2.268</v>
      </c>
      <c r="J1712" s="468">
        <v>0.008</v>
      </c>
    </row>
    <row r="1713" spans="1:10" ht="12.75" outlineLevel="2">
      <c r="A1713" s="645">
        <v>2142118159</v>
      </c>
      <c r="B1713" s="635" t="s">
        <v>2330</v>
      </c>
      <c r="C1713" s="635" t="s">
        <v>1786</v>
      </c>
      <c r="D1713" s="635"/>
      <c r="E1713" s="635" t="s">
        <v>1494</v>
      </c>
      <c r="F1713" s="465" t="s">
        <v>1845</v>
      </c>
      <c r="G1713" s="466">
        <v>1.8</v>
      </c>
      <c r="H1713" s="466">
        <v>1.309</v>
      </c>
      <c r="I1713" s="467">
        <v>1.277</v>
      </c>
      <c r="J1713" s="468">
        <v>0.032</v>
      </c>
    </row>
    <row r="1714" spans="1:10" ht="12.75" outlineLevel="2">
      <c r="A1714" s="645">
        <v>2142118160</v>
      </c>
      <c r="B1714" s="635" t="s">
        <v>607</v>
      </c>
      <c r="C1714" s="635" t="s">
        <v>1804</v>
      </c>
      <c r="D1714" s="635"/>
      <c r="E1714" s="635" t="s">
        <v>1494</v>
      </c>
      <c r="F1714" s="465" t="s">
        <v>1845</v>
      </c>
      <c r="G1714" s="466">
        <v>4.5</v>
      </c>
      <c r="H1714" s="466">
        <v>4.423</v>
      </c>
      <c r="I1714" s="467">
        <v>4.423</v>
      </c>
      <c r="J1714" s="468">
        <v>0</v>
      </c>
    </row>
    <row r="1715" spans="1:10" ht="12.75" outlineLevel="2">
      <c r="A1715" s="645">
        <v>2142118161</v>
      </c>
      <c r="B1715" s="635" t="s">
        <v>2330</v>
      </c>
      <c r="C1715" s="635" t="s">
        <v>1804</v>
      </c>
      <c r="D1715" s="635"/>
      <c r="E1715" s="635" t="s">
        <v>1494</v>
      </c>
      <c r="F1715" s="465" t="s">
        <v>1845</v>
      </c>
      <c r="G1715" s="466">
        <v>4</v>
      </c>
      <c r="H1715" s="466">
        <v>3.233</v>
      </c>
      <c r="I1715" s="467">
        <v>3.215</v>
      </c>
      <c r="J1715" s="468">
        <v>0.018</v>
      </c>
    </row>
    <row r="1716" spans="1:10" ht="12.75" outlineLevel="2">
      <c r="A1716" s="645">
        <v>2142118162</v>
      </c>
      <c r="B1716" s="635" t="s">
        <v>2332</v>
      </c>
      <c r="C1716" s="635" t="s">
        <v>1804</v>
      </c>
      <c r="D1716" s="635"/>
      <c r="E1716" s="635" t="s">
        <v>1494</v>
      </c>
      <c r="F1716" s="465" t="s">
        <v>1845</v>
      </c>
      <c r="G1716" s="466">
        <v>1</v>
      </c>
      <c r="H1716" s="466">
        <v>0.88</v>
      </c>
      <c r="I1716" s="467">
        <v>0.879</v>
      </c>
      <c r="J1716" s="468">
        <v>0.001</v>
      </c>
    </row>
    <row r="1717" spans="1:10" ht="12.75" outlineLevel="2">
      <c r="A1717" s="645">
        <v>2142118163</v>
      </c>
      <c r="B1717" s="635" t="s">
        <v>2328</v>
      </c>
      <c r="C1717" s="635" t="s">
        <v>1804</v>
      </c>
      <c r="D1717" s="635"/>
      <c r="E1717" s="635" t="s">
        <v>1494</v>
      </c>
      <c r="F1717" s="465" t="s">
        <v>1845</v>
      </c>
      <c r="G1717" s="466">
        <v>0.9</v>
      </c>
      <c r="H1717" s="466">
        <v>1.097</v>
      </c>
      <c r="I1717" s="467">
        <v>1.097</v>
      </c>
      <c r="J1717" s="468">
        <v>0</v>
      </c>
    </row>
    <row r="1718" spans="1:10" ht="12.75" outlineLevel="2">
      <c r="A1718" s="645">
        <v>2142118164</v>
      </c>
      <c r="B1718" s="635" t="s">
        <v>417</v>
      </c>
      <c r="C1718" s="635" t="s">
        <v>1804</v>
      </c>
      <c r="D1718" s="635"/>
      <c r="E1718" s="635" t="s">
        <v>1494</v>
      </c>
      <c r="F1718" s="465" t="s">
        <v>1845</v>
      </c>
      <c r="G1718" s="466">
        <v>0.1</v>
      </c>
      <c r="H1718" s="466">
        <v>0.067</v>
      </c>
      <c r="I1718" s="467">
        <v>0.067</v>
      </c>
      <c r="J1718" s="468">
        <v>0</v>
      </c>
    </row>
    <row r="1719" spans="1:10" ht="12.75" outlineLevel="2">
      <c r="A1719" s="645">
        <v>2142118165</v>
      </c>
      <c r="B1719" s="635" t="s">
        <v>607</v>
      </c>
      <c r="C1719" s="635" t="s">
        <v>1792</v>
      </c>
      <c r="D1719" s="635"/>
      <c r="E1719" s="635" t="s">
        <v>1494</v>
      </c>
      <c r="F1719" s="465" t="s">
        <v>1845</v>
      </c>
      <c r="G1719" s="466">
        <v>3.09</v>
      </c>
      <c r="H1719" s="466">
        <v>2.89</v>
      </c>
      <c r="I1719" s="467">
        <v>2.889</v>
      </c>
      <c r="J1719" s="468">
        <v>0.001</v>
      </c>
    </row>
    <row r="1720" spans="1:10" ht="12.75" outlineLevel="2">
      <c r="A1720" s="645">
        <v>2142118166</v>
      </c>
      <c r="B1720" s="635" t="s">
        <v>2330</v>
      </c>
      <c r="C1720" s="635" t="s">
        <v>1792</v>
      </c>
      <c r="D1720" s="635"/>
      <c r="E1720" s="635" t="s">
        <v>1494</v>
      </c>
      <c r="F1720" s="465" t="s">
        <v>1845</v>
      </c>
      <c r="G1720" s="466">
        <v>2.34</v>
      </c>
      <c r="H1720" s="466">
        <v>1.97</v>
      </c>
      <c r="I1720" s="467">
        <v>1.967</v>
      </c>
      <c r="J1720" s="468">
        <v>0.003</v>
      </c>
    </row>
    <row r="1721" spans="1:10" ht="12.75" outlineLevel="2">
      <c r="A1721" s="645">
        <v>2142118167</v>
      </c>
      <c r="B1721" s="635" t="s">
        <v>2332</v>
      </c>
      <c r="C1721" s="635" t="s">
        <v>1792</v>
      </c>
      <c r="D1721" s="635"/>
      <c r="E1721" s="635" t="s">
        <v>1494</v>
      </c>
      <c r="F1721" s="465" t="s">
        <v>1845</v>
      </c>
      <c r="G1721" s="466">
        <v>0.57</v>
      </c>
      <c r="H1721" s="466">
        <v>0.694</v>
      </c>
      <c r="I1721" s="467">
        <v>0.694</v>
      </c>
      <c r="J1721" s="468">
        <v>0</v>
      </c>
    </row>
    <row r="1722" spans="1:10" ht="12.75" outlineLevel="2">
      <c r="A1722" s="645">
        <v>2142118168</v>
      </c>
      <c r="B1722" s="635" t="s">
        <v>2337</v>
      </c>
      <c r="C1722" s="635" t="s">
        <v>1792</v>
      </c>
      <c r="D1722" s="635"/>
      <c r="E1722" s="635" t="s">
        <v>1494</v>
      </c>
      <c r="F1722" s="465" t="s">
        <v>1845</v>
      </c>
      <c r="G1722" s="466">
        <v>1.7</v>
      </c>
      <c r="H1722" s="466">
        <v>0.909</v>
      </c>
      <c r="I1722" s="467">
        <v>0.909</v>
      </c>
      <c r="J1722" s="468">
        <v>0</v>
      </c>
    </row>
    <row r="1723" spans="1:10" ht="12.75" outlineLevel="2">
      <c r="A1723" s="645">
        <v>2142118169</v>
      </c>
      <c r="B1723" s="635" t="s">
        <v>2331</v>
      </c>
      <c r="C1723" s="635" t="s">
        <v>1790</v>
      </c>
      <c r="D1723" s="635"/>
      <c r="E1723" s="635" t="s">
        <v>1494</v>
      </c>
      <c r="F1723" s="465" t="s">
        <v>1845</v>
      </c>
      <c r="G1723" s="466">
        <v>0.04</v>
      </c>
      <c r="H1723" s="466">
        <v>0.04</v>
      </c>
      <c r="I1723" s="467">
        <v>0.039</v>
      </c>
      <c r="J1723" s="468">
        <v>0.001</v>
      </c>
    </row>
    <row r="1724" spans="1:10" ht="12.75" outlineLevel="2">
      <c r="A1724" s="645">
        <v>2142118170</v>
      </c>
      <c r="B1724" s="635" t="s">
        <v>417</v>
      </c>
      <c r="C1724" s="635" t="s">
        <v>1790</v>
      </c>
      <c r="D1724" s="635"/>
      <c r="E1724" s="635" t="s">
        <v>1494</v>
      </c>
      <c r="F1724" s="465" t="s">
        <v>1845</v>
      </c>
      <c r="G1724" s="466">
        <v>0.1</v>
      </c>
      <c r="H1724" s="466">
        <v>0.07</v>
      </c>
      <c r="I1724" s="467">
        <v>0.07</v>
      </c>
      <c r="J1724" s="468">
        <v>0</v>
      </c>
    </row>
    <row r="1725" spans="1:10" ht="12.75" outlineLevel="2">
      <c r="A1725" s="645">
        <v>2142118171</v>
      </c>
      <c r="B1725" s="635" t="s">
        <v>2330</v>
      </c>
      <c r="C1725" s="635" t="s">
        <v>1790</v>
      </c>
      <c r="D1725" s="635"/>
      <c r="E1725" s="635" t="s">
        <v>1494</v>
      </c>
      <c r="F1725" s="465" t="s">
        <v>1845</v>
      </c>
      <c r="G1725" s="466">
        <v>2.388</v>
      </c>
      <c r="H1725" s="466">
        <v>1.968</v>
      </c>
      <c r="I1725" s="467">
        <v>1.952</v>
      </c>
      <c r="J1725" s="468">
        <v>0.016</v>
      </c>
    </row>
    <row r="1726" spans="1:10" ht="12.75" outlineLevel="2">
      <c r="A1726" s="645">
        <v>2142118172</v>
      </c>
      <c r="B1726" s="635" t="s">
        <v>2338</v>
      </c>
      <c r="C1726" s="635" t="s">
        <v>1790</v>
      </c>
      <c r="D1726" s="635"/>
      <c r="E1726" s="635" t="s">
        <v>1494</v>
      </c>
      <c r="F1726" s="465" t="s">
        <v>1845</v>
      </c>
      <c r="G1726" s="466">
        <v>2.4</v>
      </c>
      <c r="H1726" s="466">
        <v>1.78</v>
      </c>
      <c r="I1726" s="467">
        <v>1.78</v>
      </c>
      <c r="J1726" s="468">
        <v>0</v>
      </c>
    </row>
    <row r="1727" spans="1:10" ht="12.75" outlineLevel="2">
      <c r="A1727" s="645">
        <v>2142118173</v>
      </c>
      <c r="B1727" s="635" t="s">
        <v>2332</v>
      </c>
      <c r="C1727" s="635" t="s">
        <v>1790</v>
      </c>
      <c r="D1727" s="635"/>
      <c r="E1727" s="635" t="s">
        <v>1494</v>
      </c>
      <c r="F1727" s="465" t="s">
        <v>1845</v>
      </c>
      <c r="G1727" s="466">
        <v>1.001</v>
      </c>
      <c r="H1727" s="466">
        <v>0.601</v>
      </c>
      <c r="I1727" s="467">
        <v>0.601</v>
      </c>
      <c r="J1727" s="468">
        <v>0</v>
      </c>
    </row>
    <row r="1728" spans="1:10" ht="12.75" outlineLevel="2">
      <c r="A1728" s="645">
        <v>2142118174</v>
      </c>
      <c r="B1728" s="635" t="s">
        <v>2328</v>
      </c>
      <c r="C1728" s="635" t="s">
        <v>1790</v>
      </c>
      <c r="D1728" s="635"/>
      <c r="E1728" s="635" t="s">
        <v>1494</v>
      </c>
      <c r="F1728" s="465" t="s">
        <v>1845</v>
      </c>
      <c r="G1728" s="466">
        <v>1.971</v>
      </c>
      <c r="H1728" s="466">
        <v>1.57</v>
      </c>
      <c r="I1728" s="467">
        <v>1.569</v>
      </c>
      <c r="J1728" s="468">
        <v>0.001</v>
      </c>
    </row>
    <row r="1729" spans="1:10" ht="12.75" outlineLevel="2">
      <c r="A1729" s="645">
        <v>2142118175</v>
      </c>
      <c r="B1729" s="635" t="s">
        <v>607</v>
      </c>
      <c r="C1729" s="635" t="s">
        <v>1798</v>
      </c>
      <c r="D1729" s="635"/>
      <c r="E1729" s="635" t="s">
        <v>1494</v>
      </c>
      <c r="F1729" s="465" t="s">
        <v>1845</v>
      </c>
      <c r="G1729" s="466">
        <v>2.51</v>
      </c>
      <c r="H1729" s="466">
        <v>1.808</v>
      </c>
      <c r="I1729" s="467">
        <v>1.808</v>
      </c>
      <c r="J1729" s="468">
        <v>0</v>
      </c>
    </row>
    <row r="1730" spans="1:10" ht="12.75" outlineLevel="2">
      <c r="A1730" s="645">
        <v>2142118176</v>
      </c>
      <c r="B1730" s="635" t="s">
        <v>2330</v>
      </c>
      <c r="C1730" s="635" t="s">
        <v>1798</v>
      </c>
      <c r="D1730" s="635"/>
      <c r="E1730" s="635" t="s">
        <v>1494</v>
      </c>
      <c r="F1730" s="465" t="s">
        <v>1845</v>
      </c>
      <c r="G1730" s="466">
        <v>2.328</v>
      </c>
      <c r="H1730" s="466">
        <v>2.328</v>
      </c>
      <c r="I1730" s="467">
        <v>2.328</v>
      </c>
      <c r="J1730" s="468">
        <v>0</v>
      </c>
    </row>
    <row r="1731" spans="1:10" ht="12.75" outlineLevel="2">
      <c r="A1731" s="645">
        <v>2142118177</v>
      </c>
      <c r="B1731" s="635" t="s">
        <v>2332</v>
      </c>
      <c r="C1731" s="635" t="s">
        <v>1798</v>
      </c>
      <c r="D1731" s="635"/>
      <c r="E1731" s="635" t="s">
        <v>1494</v>
      </c>
      <c r="F1731" s="465" t="s">
        <v>1845</v>
      </c>
      <c r="G1731" s="466">
        <v>3.152</v>
      </c>
      <c r="H1731" s="466">
        <v>0.89</v>
      </c>
      <c r="I1731" s="467">
        <v>0.89</v>
      </c>
      <c r="J1731" s="468">
        <v>0</v>
      </c>
    </row>
    <row r="1732" spans="1:10" ht="12.75" outlineLevel="2">
      <c r="A1732" s="645">
        <v>2142118178</v>
      </c>
      <c r="B1732" s="635" t="s">
        <v>417</v>
      </c>
      <c r="C1732" s="635" t="s">
        <v>1798</v>
      </c>
      <c r="D1732" s="635"/>
      <c r="E1732" s="635" t="s">
        <v>1533</v>
      </c>
      <c r="F1732" s="465" t="s">
        <v>1845</v>
      </c>
      <c r="G1732" s="466">
        <v>0.129</v>
      </c>
      <c r="H1732" s="466">
        <v>0</v>
      </c>
      <c r="I1732" s="467">
        <v>0</v>
      </c>
      <c r="J1732" s="468">
        <v>0</v>
      </c>
    </row>
    <row r="1733" spans="1:10" ht="12.75" outlineLevel="2">
      <c r="A1733" s="645">
        <v>2142118179</v>
      </c>
      <c r="B1733" s="635" t="s">
        <v>607</v>
      </c>
      <c r="C1733" s="635" t="s">
        <v>1788</v>
      </c>
      <c r="D1733" s="635"/>
      <c r="E1733" s="635" t="s">
        <v>1494</v>
      </c>
      <c r="F1733" s="465" t="s">
        <v>1845</v>
      </c>
      <c r="G1733" s="466">
        <v>2.72</v>
      </c>
      <c r="H1733" s="466">
        <v>2.026</v>
      </c>
      <c r="I1733" s="467">
        <v>2.026</v>
      </c>
      <c r="J1733" s="468">
        <v>0</v>
      </c>
    </row>
    <row r="1734" spans="1:10" ht="12.75" outlineLevel="2">
      <c r="A1734" s="645">
        <v>2142118180</v>
      </c>
      <c r="B1734" s="635" t="s">
        <v>2330</v>
      </c>
      <c r="C1734" s="635" t="s">
        <v>1788</v>
      </c>
      <c r="D1734" s="635"/>
      <c r="E1734" s="635" t="s">
        <v>1494</v>
      </c>
      <c r="F1734" s="465" t="s">
        <v>1845</v>
      </c>
      <c r="G1734" s="466">
        <v>2.721</v>
      </c>
      <c r="H1734" s="466">
        <v>2.204</v>
      </c>
      <c r="I1734" s="467">
        <v>2.065</v>
      </c>
      <c r="J1734" s="468">
        <v>0.139</v>
      </c>
    </row>
    <row r="1735" spans="1:10" ht="12.75" outlineLevel="2">
      <c r="A1735" s="645">
        <v>2142118181</v>
      </c>
      <c r="B1735" s="635" t="s">
        <v>2332</v>
      </c>
      <c r="C1735" s="635" t="s">
        <v>1788</v>
      </c>
      <c r="D1735" s="635"/>
      <c r="E1735" s="635" t="s">
        <v>1494</v>
      </c>
      <c r="F1735" s="465" t="s">
        <v>1845</v>
      </c>
      <c r="G1735" s="466">
        <v>1.78</v>
      </c>
      <c r="H1735" s="466">
        <v>1.94</v>
      </c>
      <c r="I1735" s="467">
        <v>1.94</v>
      </c>
      <c r="J1735" s="468">
        <v>0</v>
      </c>
    </row>
    <row r="1736" spans="1:10" ht="12.75" outlineLevel="2">
      <c r="A1736" s="645">
        <v>2142118182</v>
      </c>
      <c r="B1736" s="635" t="s">
        <v>2339</v>
      </c>
      <c r="C1736" s="635" t="s">
        <v>1788</v>
      </c>
      <c r="D1736" s="635"/>
      <c r="E1736" s="635" t="s">
        <v>1494</v>
      </c>
      <c r="F1736" s="465" t="s">
        <v>1845</v>
      </c>
      <c r="G1736" s="466">
        <v>2.62</v>
      </c>
      <c r="H1736" s="466">
        <v>3.525</v>
      </c>
      <c r="I1736" s="467">
        <v>3.524</v>
      </c>
      <c r="J1736" s="468">
        <v>0.001</v>
      </c>
    </row>
    <row r="1737" spans="1:10" ht="12.75" outlineLevel="2">
      <c r="A1737" s="645">
        <v>2142118182</v>
      </c>
      <c r="B1737" s="635" t="s">
        <v>2339</v>
      </c>
      <c r="C1737" s="635" t="s">
        <v>1788</v>
      </c>
      <c r="D1737" s="635"/>
      <c r="E1737" s="635" t="s">
        <v>1494</v>
      </c>
      <c r="F1737" s="465" t="s">
        <v>96</v>
      </c>
      <c r="G1737" s="466">
        <v>0</v>
      </c>
      <c r="H1737" s="466">
        <v>0.175</v>
      </c>
      <c r="I1737" s="467">
        <v>0.175</v>
      </c>
      <c r="J1737" s="468">
        <v>0</v>
      </c>
    </row>
    <row r="1738" spans="1:10" ht="12.75" outlineLevel="2">
      <c r="A1738" s="645">
        <v>2142118183</v>
      </c>
      <c r="B1738" s="635" t="s">
        <v>417</v>
      </c>
      <c r="C1738" s="635" t="s">
        <v>1788</v>
      </c>
      <c r="D1738" s="635"/>
      <c r="E1738" s="635" t="s">
        <v>1494</v>
      </c>
      <c r="F1738" s="465" t="s">
        <v>1845</v>
      </c>
      <c r="G1738" s="466">
        <v>0.1</v>
      </c>
      <c r="H1738" s="466">
        <v>0.04</v>
      </c>
      <c r="I1738" s="467">
        <v>0.04</v>
      </c>
      <c r="J1738" s="468">
        <v>0</v>
      </c>
    </row>
    <row r="1739" spans="1:10" ht="12.75" outlineLevel="2">
      <c r="A1739" s="645">
        <v>2142118184</v>
      </c>
      <c r="B1739" s="635" t="s">
        <v>607</v>
      </c>
      <c r="C1739" s="635" t="s">
        <v>1784</v>
      </c>
      <c r="D1739" s="635"/>
      <c r="E1739" s="635" t="s">
        <v>1494</v>
      </c>
      <c r="F1739" s="465" t="s">
        <v>1845</v>
      </c>
      <c r="G1739" s="466">
        <v>5.7</v>
      </c>
      <c r="H1739" s="466">
        <v>4.956</v>
      </c>
      <c r="I1739" s="467">
        <v>4.956</v>
      </c>
      <c r="J1739" s="468">
        <v>0</v>
      </c>
    </row>
    <row r="1740" spans="1:10" ht="12.75" outlineLevel="2">
      <c r="A1740" s="645">
        <v>2142118185</v>
      </c>
      <c r="B1740" s="635" t="s">
        <v>2330</v>
      </c>
      <c r="C1740" s="635" t="s">
        <v>1784</v>
      </c>
      <c r="D1740" s="635"/>
      <c r="E1740" s="635" t="s">
        <v>1494</v>
      </c>
      <c r="F1740" s="465" t="s">
        <v>1845</v>
      </c>
      <c r="G1740" s="466">
        <v>8.21</v>
      </c>
      <c r="H1740" s="466">
        <v>5.27</v>
      </c>
      <c r="I1740" s="467">
        <v>5.27</v>
      </c>
      <c r="J1740" s="468">
        <v>0</v>
      </c>
    </row>
    <row r="1741" spans="1:10" ht="12.75" outlineLevel="2">
      <c r="A1741" s="645">
        <v>2142118186</v>
      </c>
      <c r="B1741" s="635" t="s">
        <v>2331</v>
      </c>
      <c r="C1741" s="635" t="s">
        <v>1784</v>
      </c>
      <c r="D1741" s="635"/>
      <c r="E1741" s="635" t="s">
        <v>1494</v>
      </c>
      <c r="F1741" s="465" t="s">
        <v>1845</v>
      </c>
      <c r="G1741" s="466">
        <v>0.01</v>
      </c>
      <c r="H1741" s="466">
        <v>0.001</v>
      </c>
      <c r="I1741" s="467">
        <v>0.001</v>
      </c>
      <c r="J1741" s="468">
        <v>0</v>
      </c>
    </row>
    <row r="1742" spans="1:10" ht="12.75" outlineLevel="2">
      <c r="A1742" s="645">
        <v>2142118187</v>
      </c>
      <c r="B1742" s="635" t="s">
        <v>2332</v>
      </c>
      <c r="C1742" s="635" t="s">
        <v>1784</v>
      </c>
      <c r="D1742" s="635"/>
      <c r="E1742" s="635" t="s">
        <v>1494</v>
      </c>
      <c r="F1742" s="465" t="s">
        <v>1845</v>
      </c>
      <c r="G1742" s="466">
        <v>2.53</v>
      </c>
      <c r="H1742" s="466">
        <v>1.91</v>
      </c>
      <c r="I1742" s="467">
        <v>1.91</v>
      </c>
      <c r="J1742" s="468">
        <v>0</v>
      </c>
    </row>
    <row r="1743" spans="1:10" ht="12.75" outlineLevel="2">
      <c r="A1743" s="645">
        <v>2142118188</v>
      </c>
      <c r="B1743" s="635" t="s">
        <v>417</v>
      </c>
      <c r="C1743" s="635" t="s">
        <v>1784</v>
      </c>
      <c r="D1743" s="635"/>
      <c r="E1743" s="635" t="s">
        <v>1494</v>
      </c>
      <c r="F1743" s="465" t="s">
        <v>1845</v>
      </c>
      <c r="G1743" s="466">
        <v>0.1</v>
      </c>
      <c r="H1743" s="466">
        <v>0.159</v>
      </c>
      <c r="I1743" s="467">
        <v>0.159</v>
      </c>
      <c r="J1743" s="468">
        <v>0</v>
      </c>
    </row>
    <row r="1744" spans="1:10" ht="12.75" outlineLevel="2">
      <c r="A1744" s="645">
        <v>2142118189</v>
      </c>
      <c r="B1744" s="635" t="s">
        <v>2328</v>
      </c>
      <c r="C1744" s="635" t="s">
        <v>1784</v>
      </c>
      <c r="D1744" s="635"/>
      <c r="E1744" s="635" t="s">
        <v>1494</v>
      </c>
      <c r="F1744" s="465" t="s">
        <v>1845</v>
      </c>
      <c r="G1744" s="466">
        <v>4.27</v>
      </c>
      <c r="H1744" s="466">
        <v>4.002</v>
      </c>
      <c r="I1744" s="467">
        <v>4.001</v>
      </c>
      <c r="J1744" s="468">
        <v>0.001</v>
      </c>
    </row>
    <row r="1745" spans="1:10" ht="12.75" outlineLevel="2">
      <c r="A1745" s="645">
        <v>2142118190</v>
      </c>
      <c r="B1745" s="635" t="s">
        <v>607</v>
      </c>
      <c r="C1745" s="635" t="s">
        <v>1796</v>
      </c>
      <c r="D1745" s="635"/>
      <c r="E1745" s="635" t="s">
        <v>1494</v>
      </c>
      <c r="F1745" s="465" t="s">
        <v>1845</v>
      </c>
      <c r="G1745" s="466">
        <v>2.32</v>
      </c>
      <c r="H1745" s="466">
        <v>1.68</v>
      </c>
      <c r="I1745" s="467">
        <v>1.68</v>
      </c>
      <c r="J1745" s="468">
        <v>0</v>
      </c>
    </row>
    <row r="1746" spans="1:10" ht="12.75" outlineLevel="2">
      <c r="A1746" s="645">
        <v>2142118190</v>
      </c>
      <c r="B1746" s="635" t="s">
        <v>607</v>
      </c>
      <c r="C1746" s="635" t="s">
        <v>1796</v>
      </c>
      <c r="D1746" s="635"/>
      <c r="E1746" s="635" t="s">
        <v>1494</v>
      </c>
      <c r="F1746" s="465" t="s">
        <v>332</v>
      </c>
      <c r="G1746" s="466">
        <v>0</v>
      </c>
      <c r="H1746" s="466">
        <v>0</v>
      </c>
      <c r="I1746" s="467">
        <v>0.174</v>
      </c>
      <c r="J1746" s="468">
        <v>0</v>
      </c>
    </row>
    <row r="1747" spans="1:10" ht="12.75" outlineLevel="2">
      <c r="A1747" s="645">
        <v>2142118191</v>
      </c>
      <c r="B1747" s="635" t="s">
        <v>2335</v>
      </c>
      <c r="C1747" s="635" t="s">
        <v>1796</v>
      </c>
      <c r="D1747" s="635"/>
      <c r="E1747" s="635" t="s">
        <v>1494</v>
      </c>
      <c r="F1747" s="465" t="s">
        <v>1845</v>
      </c>
      <c r="G1747" s="466">
        <v>2.944</v>
      </c>
      <c r="H1747" s="466">
        <v>2.12</v>
      </c>
      <c r="I1747" s="467">
        <v>2.098</v>
      </c>
      <c r="J1747" s="468">
        <v>0.022</v>
      </c>
    </row>
    <row r="1748" spans="1:10" ht="12.75" outlineLevel="2">
      <c r="A1748" s="645">
        <v>2142118191</v>
      </c>
      <c r="B1748" s="635" t="s">
        <v>2335</v>
      </c>
      <c r="C1748" s="635" t="s">
        <v>1796</v>
      </c>
      <c r="D1748" s="635"/>
      <c r="E1748" s="635" t="s">
        <v>1494</v>
      </c>
      <c r="F1748" s="465" t="s">
        <v>332</v>
      </c>
      <c r="G1748" s="466">
        <v>0</v>
      </c>
      <c r="H1748" s="466">
        <v>0</v>
      </c>
      <c r="I1748" s="467">
        <v>0.175</v>
      </c>
      <c r="J1748" s="468">
        <v>0</v>
      </c>
    </row>
    <row r="1749" spans="1:10" ht="12.75" outlineLevel="2">
      <c r="A1749" s="645">
        <v>2142118192</v>
      </c>
      <c r="B1749" s="635" t="s">
        <v>2331</v>
      </c>
      <c r="C1749" s="635" t="s">
        <v>1796</v>
      </c>
      <c r="D1749" s="635"/>
      <c r="E1749" s="635" t="s">
        <v>1494</v>
      </c>
      <c r="F1749" s="465" t="s">
        <v>1845</v>
      </c>
      <c r="G1749" s="466">
        <v>0.106</v>
      </c>
      <c r="H1749" s="466">
        <v>0.102</v>
      </c>
      <c r="I1749" s="467">
        <v>0.101</v>
      </c>
      <c r="J1749" s="468">
        <v>0.001</v>
      </c>
    </row>
    <row r="1750" spans="1:10" ht="12.75" outlineLevel="2">
      <c r="A1750" s="645">
        <v>2142118193</v>
      </c>
      <c r="B1750" s="635" t="s">
        <v>417</v>
      </c>
      <c r="C1750" s="635" t="s">
        <v>1796</v>
      </c>
      <c r="D1750" s="635"/>
      <c r="E1750" s="635" t="s">
        <v>1494</v>
      </c>
      <c r="F1750" s="465" t="s">
        <v>1845</v>
      </c>
      <c r="G1750" s="466">
        <v>0.08</v>
      </c>
      <c r="H1750" s="466">
        <v>0.079</v>
      </c>
      <c r="I1750" s="467">
        <v>0.079</v>
      </c>
      <c r="J1750" s="468">
        <v>0</v>
      </c>
    </row>
    <row r="1751" spans="1:10" ht="12.75" outlineLevel="2">
      <c r="A1751" s="645">
        <v>2142118194</v>
      </c>
      <c r="B1751" s="635" t="s">
        <v>2332</v>
      </c>
      <c r="C1751" s="635" t="s">
        <v>1796</v>
      </c>
      <c r="D1751" s="635"/>
      <c r="E1751" s="635" t="s">
        <v>1494</v>
      </c>
      <c r="F1751" s="465" t="s">
        <v>1845</v>
      </c>
      <c r="G1751" s="466">
        <v>1</v>
      </c>
      <c r="H1751" s="466">
        <v>0.964</v>
      </c>
      <c r="I1751" s="467">
        <v>0.964</v>
      </c>
      <c r="J1751" s="468">
        <v>0</v>
      </c>
    </row>
    <row r="1752" spans="1:10" ht="12.75" outlineLevel="2">
      <c r="A1752" s="645">
        <v>2142118195</v>
      </c>
      <c r="B1752" s="635" t="s">
        <v>611</v>
      </c>
      <c r="C1752" s="635" t="s">
        <v>1796</v>
      </c>
      <c r="D1752" s="635"/>
      <c r="E1752" s="635" t="s">
        <v>1494</v>
      </c>
      <c r="F1752" s="465" t="s">
        <v>1845</v>
      </c>
      <c r="G1752" s="466">
        <v>1.2</v>
      </c>
      <c r="H1752" s="466">
        <v>1.2</v>
      </c>
      <c r="I1752" s="467">
        <v>1.199</v>
      </c>
      <c r="J1752" s="468">
        <v>0.001</v>
      </c>
    </row>
    <row r="1753" spans="1:10" ht="12.75" outlineLevel="2">
      <c r="A1753" s="645">
        <v>2142118196</v>
      </c>
      <c r="B1753" s="635" t="s">
        <v>607</v>
      </c>
      <c r="C1753" s="635" t="s">
        <v>1794</v>
      </c>
      <c r="D1753" s="635"/>
      <c r="E1753" s="635" t="s">
        <v>1494</v>
      </c>
      <c r="F1753" s="465" t="s">
        <v>1845</v>
      </c>
      <c r="G1753" s="466">
        <v>4.22</v>
      </c>
      <c r="H1753" s="466">
        <v>4.701</v>
      </c>
      <c r="I1753" s="467">
        <v>4.698</v>
      </c>
      <c r="J1753" s="468">
        <v>0.003</v>
      </c>
    </row>
    <row r="1754" spans="1:10" ht="12.75" outlineLevel="2">
      <c r="A1754" s="645">
        <v>2142118197</v>
      </c>
      <c r="B1754" s="635" t="s">
        <v>2330</v>
      </c>
      <c r="C1754" s="635" t="s">
        <v>1794</v>
      </c>
      <c r="D1754" s="635"/>
      <c r="E1754" s="635" t="s">
        <v>1494</v>
      </c>
      <c r="F1754" s="465" t="s">
        <v>1845</v>
      </c>
      <c r="G1754" s="466">
        <v>5</v>
      </c>
      <c r="H1754" s="466">
        <v>4.532</v>
      </c>
      <c r="I1754" s="467">
        <v>4.527</v>
      </c>
      <c r="J1754" s="468">
        <v>0.005</v>
      </c>
    </row>
    <row r="1755" spans="1:10" ht="12.75" outlineLevel="2">
      <c r="A1755" s="645">
        <v>2142118198</v>
      </c>
      <c r="B1755" s="635" t="s">
        <v>2331</v>
      </c>
      <c r="C1755" s="635" t="s">
        <v>1794</v>
      </c>
      <c r="D1755" s="635"/>
      <c r="E1755" s="635" t="s">
        <v>1494</v>
      </c>
      <c r="F1755" s="465" t="s">
        <v>1845</v>
      </c>
      <c r="G1755" s="466">
        <v>0.045</v>
      </c>
      <c r="H1755" s="466">
        <v>0.032</v>
      </c>
      <c r="I1755" s="467">
        <v>0.032</v>
      </c>
      <c r="J1755" s="468">
        <v>0</v>
      </c>
    </row>
    <row r="1756" spans="1:10" ht="12.75" outlineLevel="2">
      <c r="A1756" s="645">
        <v>2142118199</v>
      </c>
      <c r="B1756" s="635" t="s">
        <v>2332</v>
      </c>
      <c r="C1756" s="635" t="s">
        <v>1794</v>
      </c>
      <c r="D1756" s="635"/>
      <c r="E1756" s="635" t="s">
        <v>1494</v>
      </c>
      <c r="F1756" s="465" t="s">
        <v>1845</v>
      </c>
      <c r="G1756" s="466">
        <v>0.505</v>
      </c>
      <c r="H1756" s="466">
        <v>0.505</v>
      </c>
      <c r="I1756" s="467">
        <v>0.505</v>
      </c>
      <c r="J1756" s="468">
        <v>0</v>
      </c>
    </row>
    <row r="1757" spans="1:10" ht="12.75" outlineLevel="2">
      <c r="A1757" s="645">
        <v>2142118200</v>
      </c>
      <c r="B1757" s="635" t="s">
        <v>611</v>
      </c>
      <c r="C1757" s="635" t="s">
        <v>1794</v>
      </c>
      <c r="D1757" s="635"/>
      <c r="E1757" s="635" t="s">
        <v>1533</v>
      </c>
      <c r="F1757" s="465" t="s">
        <v>1845</v>
      </c>
      <c r="G1757" s="466">
        <v>2.04</v>
      </c>
      <c r="H1757" s="466">
        <v>0</v>
      </c>
      <c r="I1757" s="467">
        <v>0</v>
      </c>
      <c r="J1757" s="468">
        <v>0</v>
      </c>
    </row>
    <row r="1758" spans="1:10" ht="12.75" outlineLevel="2">
      <c r="A1758" s="645">
        <v>2142118201</v>
      </c>
      <c r="B1758" s="635" t="s">
        <v>607</v>
      </c>
      <c r="C1758" s="635" t="s">
        <v>1806</v>
      </c>
      <c r="D1758" s="635"/>
      <c r="E1758" s="635" t="s">
        <v>1494</v>
      </c>
      <c r="F1758" s="465" t="s">
        <v>1845</v>
      </c>
      <c r="G1758" s="466">
        <v>2.57</v>
      </c>
      <c r="H1758" s="466">
        <v>1.653</v>
      </c>
      <c r="I1758" s="467">
        <v>1.652</v>
      </c>
      <c r="J1758" s="468">
        <v>0.001</v>
      </c>
    </row>
    <row r="1759" spans="1:10" ht="12.75" outlineLevel="2">
      <c r="A1759" s="645">
        <v>2142118202</v>
      </c>
      <c r="B1759" s="635" t="s">
        <v>2330</v>
      </c>
      <c r="C1759" s="635" t="s">
        <v>1806</v>
      </c>
      <c r="D1759" s="635"/>
      <c r="E1759" s="635" t="s">
        <v>1494</v>
      </c>
      <c r="F1759" s="465" t="s">
        <v>1845</v>
      </c>
      <c r="G1759" s="466">
        <v>1.73</v>
      </c>
      <c r="H1759" s="466">
        <v>1.495</v>
      </c>
      <c r="I1759" s="467">
        <v>1.495</v>
      </c>
      <c r="J1759" s="468">
        <v>0</v>
      </c>
    </row>
    <row r="1760" spans="1:10" ht="12.75" outlineLevel="2">
      <c r="A1760" s="645">
        <v>2142118203</v>
      </c>
      <c r="B1760" s="635" t="s">
        <v>2331</v>
      </c>
      <c r="C1760" s="635" t="s">
        <v>1806</v>
      </c>
      <c r="D1760" s="635"/>
      <c r="E1760" s="635" t="s">
        <v>1494</v>
      </c>
      <c r="F1760" s="465" t="s">
        <v>1845</v>
      </c>
      <c r="G1760" s="466">
        <v>0.023</v>
      </c>
      <c r="H1760" s="466">
        <v>0.023</v>
      </c>
      <c r="I1760" s="467">
        <v>0.023</v>
      </c>
      <c r="J1760" s="468">
        <v>0</v>
      </c>
    </row>
    <row r="1761" spans="1:10" ht="12.75" outlineLevel="2">
      <c r="A1761" s="645">
        <v>2142118204</v>
      </c>
      <c r="B1761" s="635" t="s">
        <v>2340</v>
      </c>
      <c r="C1761" s="635" t="s">
        <v>1806</v>
      </c>
      <c r="D1761" s="635"/>
      <c r="E1761" s="635" t="s">
        <v>1494</v>
      </c>
      <c r="F1761" s="465" t="s">
        <v>1845</v>
      </c>
      <c r="G1761" s="466">
        <v>1.2</v>
      </c>
      <c r="H1761" s="466">
        <v>1.113</v>
      </c>
      <c r="I1761" s="467">
        <v>1.112</v>
      </c>
      <c r="J1761" s="468">
        <v>0.001</v>
      </c>
    </row>
    <row r="1762" spans="1:10" ht="12.75" outlineLevel="2">
      <c r="A1762" s="645">
        <v>2142118205</v>
      </c>
      <c r="B1762" s="635" t="s">
        <v>2332</v>
      </c>
      <c r="C1762" s="635" t="s">
        <v>1806</v>
      </c>
      <c r="D1762" s="635"/>
      <c r="E1762" s="635" t="s">
        <v>1494</v>
      </c>
      <c r="F1762" s="465" t="s">
        <v>1845</v>
      </c>
      <c r="G1762" s="466">
        <v>0.69</v>
      </c>
      <c r="H1762" s="466">
        <v>0.41</v>
      </c>
      <c r="I1762" s="467">
        <v>0.41</v>
      </c>
      <c r="J1762" s="468">
        <v>0</v>
      </c>
    </row>
    <row r="1763" spans="1:10" ht="12.75" outlineLevel="2">
      <c r="A1763" s="645">
        <v>2142118206</v>
      </c>
      <c r="B1763" s="635" t="s">
        <v>417</v>
      </c>
      <c r="C1763" s="635" t="s">
        <v>1806</v>
      </c>
      <c r="D1763" s="635"/>
      <c r="E1763" s="635" t="s">
        <v>1494</v>
      </c>
      <c r="F1763" s="465" t="s">
        <v>1845</v>
      </c>
      <c r="G1763" s="466">
        <v>0.225</v>
      </c>
      <c r="H1763" s="466">
        <v>0.049</v>
      </c>
      <c r="I1763" s="467">
        <v>0.049</v>
      </c>
      <c r="J1763" s="468">
        <v>0</v>
      </c>
    </row>
    <row r="1764" spans="1:10" ht="12.75" outlineLevel="2">
      <c r="A1764" s="645">
        <v>2142118207</v>
      </c>
      <c r="B1764" s="635" t="s">
        <v>2341</v>
      </c>
      <c r="C1764" s="635" t="s">
        <v>1780</v>
      </c>
      <c r="D1764" s="635"/>
      <c r="E1764" s="635" t="s">
        <v>1494</v>
      </c>
      <c r="F1764" s="465" t="s">
        <v>1845</v>
      </c>
      <c r="G1764" s="466">
        <v>0</v>
      </c>
      <c r="H1764" s="466">
        <v>1.801</v>
      </c>
      <c r="I1764" s="467">
        <v>1.8</v>
      </c>
      <c r="J1764" s="468">
        <v>0.001</v>
      </c>
    </row>
    <row r="1765" spans="1:10" ht="12.75" outlineLevel="2">
      <c r="A1765" s="645">
        <v>2142118208</v>
      </c>
      <c r="B1765" s="635" t="s">
        <v>2341</v>
      </c>
      <c r="C1765" s="635" t="s">
        <v>1798</v>
      </c>
      <c r="D1765" s="635"/>
      <c r="E1765" s="635" t="s">
        <v>1494</v>
      </c>
      <c r="F1765" s="465" t="s">
        <v>1845</v>
      </c>
      <c r="G1765" s="466">
        <v>0</v>
      </c>
      <c r="H1765" s="466">
        <v>2.262</v>
      </c>
      <c r="I1765" s="467">
        <v>2.262</v>
      </c>
      <c r="J1765" s="468">
        <v>0</v>
      </c>
    </row>
    <row r="1766" spans="1:10" ht="12.75" outlineLevel="2">
      <c r="A1766" s="645">
        <v>2142118209</v>
      </c>
      <c r="B1766" s="635" t="s">
        <v>2342</v>
      </c>
      <c r="C1766" s="635" t="s">
        <v>1777</v>
      </c>
      <c r="D1766" s="635"/>
      <c r="E1766" s="635" t="s">
        <v>1494</v>
      </c>
      <c r="F1766" s="465" t="s">
        <v>96</v>
      </c>
      <c r="G1766" s="466">
        <v>0</v>
      </c>
      <c r="H1766" s="466">
        <v>0.764</v>
      </c>
      <c r="I1766" s="467">
        <v>0.763</v>
      </c>
      <c r="J1766" s="468">
        <v>0.001</v>
      </c>
    </row>
    <row r="1767" spans="1:10" ht="12.75" outlineLevel="2">
      <c r="A1767" s="645">
        <v>2142118210</v>
      </c>
      <c r="B1767" s="635" t="s">
        <v>2343</v>
      </c>
      <c r="C1767" s="635" t="s">
        <v>1777</v>
      </c>
      <c r="D1767" s="635"/>
      <c r="E1767" s="635" t="s">
        <v>1494</v>
      </c>
      <c r="F1767" s="465" t="s">
        <v>96</v>
      </c>
      <c r="G1767" s="466">
        <v>0</v>
      </c>
      <c r="H1767" s="466">
        <v>0.598</v>
      </c>
      <c r="I1767" s="467">
        <v>0.598</v>
      </c>
      <c r="J1767" s="468">
        <v>0</v>
      </c>
    </row>
    <row r="1768" spans="1:10" ht="12.75" outlineLevel="2">
      <c r="A1768" s="645">
        <v>2142118211</v>
      </c>
      <c r="B1768" s="635" t="s">
        <v>2344</v>
      </c>
      <c r="C1768" s="635" t="s">
        <v>1777</v>
      </c>
      <c r="D1768" s="635"/>
      <c r="E1768" s="635" t="s">
        <v>1494</v>
      </c>
      <c r="F1768" s="465" t="s">
        <v>96</v>
      </c>
      <c r="G1768" s="466">
        <v>0</v>
      </c>
      <c r="H1768" s="466">
        <v>0.5</v>
      </c>
      <c r="I1768" s="467">
        <v>0.5</v>
      </c>
      <c r="J1768" s="468">
        <v>0</v>
      </c>
    </row>
    <row r="1769" spans="1:10" ht="12.75" outlineLevel="2">
      <c r="A1769" s="645">
        <v>2142118212</v>
      </c>
      <c r="B1769" s="635" t="s">
        <v>2345</v>
      </c>
      <c r="C1769" s="635" t="s">
        <v>1777</v>
      </c>
      <c r="D1769" s="635"/>
      <c r="E1769" s="635" t="s">
        <v>1494</v>
      </c>
      <c r="F1769" s="465" t="s">
        <v>96</v>
      </c>
      <c r="G1769" s="466">
        <v>0</v>
      </c>
      <c r="H1769" s="466">
        <v>0.694</v>
      </c>
      <c r="I1769" s="467">
        <v>0.694</v>
      </c>
      <c r="J1769" s="468">
        <v>0</v>
      </c>
    </row>
    <row r="1770" spans="1:10" ht="12.75" outlineLevel="2">
      <c r="A1770" s="645">
        <v>2142118213</v>
      </c>
      <c r="B1770" s="635" t="s">
        <v>2346</v>
      </c>
      <c r="C1770" s="635" t="s">
        <v>1798</v>
      </c>
      <c r="D1770" s="635"/>
      <c r="E1770" s="635" t="s">
        <v>1494</v>
      </c>
      <c r="F1770" s="465" t="s">
        <v>333</v>
      </c>
      <c r="G1770" s="466">
        <v>0</v>
      </c>
      <c r="H1770" s="466">
        <v>0</v>
      </c>
      <c r="I1770" s="467">
        <v>0.215</v>
      </c>
      <c r="J1770" s="468">
        <v>0</v>
      </c>
    </row>
    <row r="1771" spans="1:10" ht="12.75" outlineLevel="2">
      <c r="A1771" s="645">
        <v>2142118214</v>
      </c>
      <c r="B1771" s="635" t="s">
        <v>2347</v>
      </c>
      <c r="C1771" s="635" t="s">
        <v>1798</v>
      </c>
      <c r="D1771" s="635"/>
      <c r="E1771" s="635" t="s">
        <v>1494</v>
      </c>
      <c r="F1771" s="465" t="s">
        <v>333</v>
      </c>
      <c r="G1771" s="466">
        <v>0</v>
      </c>
      <c r="H1771" s="466">
        <v>0</v>
      </c>
      <c r="I1771" s="467">
        <v>0.198</v>
      </c>
      <c r="J1771" s="468">
        <v>0</v>
      </c>
    </row>
    <row r="1772" spans="1:10" ht="12.75" outlineLevel="2">
      <c r="A1772" s="645">
        <v>2142118215</v>
      </c>
      <c r="B1772" s="635" t="s">
        <v>2348</v>
      </c>
      <c r="C1772" s="635" t="s">
        <v>1782</v>
      </c>
      <c r="D1772" s="635"/>
      <c r="E1772" s="635" t="s">
        <v>1494</v>
      </c>
      <c r="F1772" s="465" t="s">
        <v>96</v>
      </c>
      <c r="G1772" s="466">
        <v>0</v>
      </c>
      <c r="H1772" s="466">
        <v>0.094</v>
      </c>
      <c r="I1772" s="467">
        <v>0.094</v>
      </c>
      <c r="J1772" s="468">
        <v>0</v>
      </c>
    </row>
    <row r="1773" spans="1:10" ht="12.75" outlineLevel="2">
      <c r="A1773" s="645">
        <v>2142118216</v>
      </c>
      <c r="B1773" s="635" t="s">
        <v>2349</v>
      </c>
      <c r="C1773" s="635" t="s">
        <v>1782</v>
      </c>
      <c r="D1773" s="635"/>
      <c r="E1773" s="635" t="s">
        <v>1494</v>
      </c>
      <c r="F1773" s="465" t="s">
        <v>96</v>
      </c>
      <c r="G1773" s="466">
        <v>0</v>
      </c>
      <c r="H1773" s="466">
        <v>0.095</v>
      </c>
      <c r="I1773" s="467">
        <v>0.095</v>
      </c>
      <c r="J1773" s="468">
        <v>0</v>
      </c>
    </row>
    <row r="1774" spans="1:10" ht="12.75" outlineLevel="2">
      <c r="A1774" s="645">
        <v>2142118217</v>
      </c>
      <c r="B1774" s="635" t="s">
        <v>2350</v>
      </c>
      <c r="C1774" s="635" t="s">
        <v>1782</v>
      </c>
      <c r="D1774" s="635"/>
      <c r="E1774" s="635" t="s">
        <v>1494</v>
      </c>
      <c r="F1774" s="465" t="s">
        <v>96</v>
      </c>
      <c r="G1774" s="466">
        <v>0</v>
      </c>
      <c r="H1774" s="466">
        <v>0.056</v>
      </c>
      <c r="I1774" s="467">
        <v>0.055</v>
      </c>
      <c r="J1774" s="468">
        <v>0.001</v>
      </c>
    </row>
    <row r="1775" spans="1:10" ht="12.75" outlineLevel="2">
      <c r="A1775" s="645">
        <v>2142118218</v>
      </c>
      <c r="B1775" s="635" t="s">
        <v>2351</v>
      </c>
      <c r="C1775" s="635" t="s">
        <v>1802</v>
      </c>
      <c r="D1775" s="635"/>
      <c r="E1775" s="635" t="s">
        <v>1494</v>
      </c>
      <c r="F1775" s="465" t="s">
        <v>96</v>
      </c>
      <c r="G1775" s="466">
        <v>0</v>
      </c>
      <c r="H1775" s="466">
        <v>0.203</v>
      </c>
      <c r="I1775" s="467">
        <v>0.202</v>
      </c>
      <c r="J1775" s="468">
        <v>0.001</v>
      </c>
    </row>
    <row r="1776" spans="1:10" ht="12.75" outlineLevel="2">
      <c r="A1776" s="645">
        <v>2142118219</v>
      </c>
      <c r="B1776" s="635" t="s">
        <v>2352</v>
      </c>
      <c r="C1776" s="635" t="s">
        <v>1802</v>
      </c>
      <c r="D1776" s="635"/>
      <c r="E1776" s="635" t="s">
        <v>1494</v>
      </c>
      <c r="F1776" s="465" t="s">
        <v>96</v>
      </c>
      <c r="G1776" s="466">
        <v>0</v>
      </c>
      <c r="H1776" s="466">
        <v>0.37</v>
      </c>
      <c r="I1776" s="467">
        <v>0.369</v>
      </c>
      <c r="J1776" s="468">
        <v>0.001</v>
      </c>
    </row>
    <row r="1777" spans="1:10" ht="12.75" outlineLevel="2">
      <c r="A1777" s="645">
        <v>2142118220</v>
      </c>
      <c r="B1777" s="635" t="s">
        <v>2353</v>
      </c>
      <c r="C1777" s="635" t="s">
        <v>1780</v>
      </c>
      <c r="D1777" s="635"/>
      <c r="E1777" s="635" t="s">
        <v>1494</v>
      </c>
      <c r="F1777" s="465" t="s">
        <v>1845</v>
      </c>
      <c r="G1777" s="466">
        <v>0</v>
      </c>
      <c r="H1777" s="466">
        <v>0.048</v>
      </c>
      <c r="I1777" s="467">
        <v>0.048</v>
      </c>
      <c r="J1777" s="468">
        <v>0</v>
      </c>
    </row>
    <row r="1778" spans="1:10" ht="12.75" outlineLevel="2">
      <c r="A1778" s="645">
        <v>2142118220</v>
      </c>
      <c r="B1778" s="635" t="s">
        <v>2353</v>
      </c>
      <c r="C1778" s="635" t="s">
        <v>1780</v>
      </c>
      <c r="D1778" s="635"/>
      <c r="E1778" s="635" t="s">
        <v>1494</v>
      </c>
      <c r="F1778" s="465" t="s">
        <v>96</v>
      </c>
      <c r="G1778" s="466">
        <v>0</v>
      </c>
      <c r="H1778" s="466">
        <v>0.226</v>
      </c>
      <c r="I1778" s="467">
        <v>0.225</v>
      </c>
      <c r="J1778" s="468">
        <v>0.001</v>
      </c>
    </row>
    <row r="1779" spans="1:10" ht="12.75" outlineLevel="2">
      <c r="A1779" s="645">
        <v>2142118221</v>
      </c>
      <c r="B1779" s="635" t="s">
        <v>2354</v>
      </c>
      <c r="C1779" s="635" t="s">
        <v>1780</v>
      </c>
      <c r="D1779" s="635"/>
      <c r="E1779" s="635" t="s">
        <v>1494</v>
      </c>
      <c r="F1779" s="465" t="s">
        <v>1845</v>
      </c>
      <c r="G1779" s="466">
        <v>0</v>
      </c>
      <c r="H1779" s="466">
        <v>0.33</v>
      </c>
      <c r="I1779" s="467">
        <v>0.329</v>
      </c>
      <c r="J1779" s="468">
        <v>0.001</v>
      </c>
    </row>
    <row r="1780" spans="1:10" ht="12.75" outlineLevel="2">
      <c r="A1780" s="645">
        <v>2142118221</v>
      </c>
      <c r="B1780" s="635" t="s">
        <v>2354</v>
      </c>
      <c r="C1780" s="635" t="s">
        <v>1780</v>
      </c>
      <c r="D1780" s="635"/>
      <c r="E1780" s="635" t="s">
        <v>1494</v>
      </c>
      <c r="F1780" s="465" t="s">
        <v>96</v>
      </c>
      <c r="G1780" s="466">
        <v>0</v>
      </c>
      <c r="H1780" s="466">
        <v>0.065</v>
      </c>
      <c r="I1780" s="467">
        <v>0.064</v>
      </c>
      <c r="J1780" s="468">
        <v>0.001</v>
      </c>
    </row>
    <row r="1781" spans="1:10" ht="12.75" outlineLevel="2">
      <c r="A1781" s="645">
        <v>2142118222</v>
      </c>
      <c r="B1781" s="635" t="s">
        <v>2353</v>
      </c>
      <c r="C1781" s="635" t="s">
        <v>1802</v>
      </c>
      <c r="D1781" s="635"/>
      <c r="E1781" s="635" t="s">
        <v>1494</v>
      </c>
      <c r="F1781" s="465" t="s">
        <v>96</v>
      </c>
      <c r="G1781" s="466">
        <v>0</v>
      </c>
      <c r="H1781" s="466">
        <v>0.185</v>
      </c>
      <c r="I1781" s="467">
        <v>0.185</v>
      </c>
      <c r="J1781" s="468">
        <v>0</v>
      </c>
    </row>
    <row r="1782" spans="1:10" ht="12.75" outlineLevel="2">
      <c r="A1782" s="645">
        <v>2142118223</v>
      </c>
      <c r="B1782" s="635" t="s">
        <v>2353</v>
      </c>
      <c r="C1782" s="635" t="s">
        <v>1782</v>
      </c>
      <c r="D1782" s="635"/>
      <c r="E1782" s="635" t="s">
        <v>1494</v>
      </c>
      <c r="F1782" s="465" t="s">
        <v>1845</v>
      </c>
      <c r="G1782" s="466">
        <v>0</v>
      </c>
      <c r="H1782" s="466">
        <v>0.142</v>
      </c>
      <c r="I1782" s="467">
        <v>0.142</v>
      </c>
      <c r="J1782" s="468">
        <v>0</v>
      </c>
    </row>
    <row r="1783" spans="1:10" ht="12.75" outlineLevel="2">
      <c r="A1783" s="645">
        <v>2142118223</v>
      </c>
      <c r="B1783" s="635" t="s">
        <v>2353</v>
      </c>
      <c r="C1783" s="635" t="s">
        <v>1782</v>
      </c>
      <c r="D1783" s="635"/>
      <c r="E1783" s="635" t="s">
        <v>1494</v>
      </c>
      <c r="F1783" s="465" t="s">
        <v>96</v>
      </c>
      <c r="G1783" s="466">
        <v>0</v>
      </c>
      <c r="H1783" s="466">
        <v>0.278</v>
      </c>
      <c r="I1783" s="467">
        <v>0.277</v>
      </c>
      <c r="J1783" s="468">
        <v>0.001</v>
      </c>
    </row>
    <row r="1784" spans="1:10" ht="12.75" outlineLevel="2">
      <c r="A1784" s="645">
        <v>2142118224</v>
      </c>
      <c r="B1784" s="635" t="s">
        <v>2354</v>
      </c>
      <c r="C1784" s="635" t="s">
        <v>1782</v>
      </c>
      <c r="D1784" s="635"/>
      <c r="E1784" s="635" t="s">
        <v>1494</v>
      </c>
      <c r="F1784" s="465" t="s">
        <v>1845</v>
      </c>
      <c r="G1784" s="466">
        <v>0</v>
      </c>
      <c r="H1784" s="466">
        <v>0.037</v>
      </c>
      <c r="I1784" s="467">
        <v>0.036</v>
      </c>
      <c r="J1784" s="468">
        <v>0.001</v>
      </c>
    </row>
    <row r="1785" spans="1:10" ht="12.75" outlineLevel="2">
      <c r="A1785" s="645">
        <v>2142118224</v>
      </c>
      <c r="B1785" s="635" t="s">
        <v>2354</v>
      </c>
      <c r="C1785" s="635" t="s">
        <v>1782</v>
      </c>
      <c r="D1785" s="635"/>
      <c r="E1785" s="635" t="s">
        <v>1494</v>
      </c>
      <c r="F1785" s="465" t="s">
        <v>96</v>
      </c>
      <c r="G1785" s="466">
        <v>0</v>
      </c>
      <c r="H1785" s="466">
        <v>0.32</v>
      </c>
      <c r="I1785" s="467">
        <v>0.319</v>
      </c>
      <c r="J1785" s="468">
        <v>0.001</v>
      </c>
    </row>
    <row r="1786" spans="1:10" ht="12.75" outlineLevel="2">
      <c r="A1786" s="645">
        <v>2142118225</v>
      </c>
      <c r="B1786" s="635" t="s">
        <v>2353</v>
      </c>
      <c r="C1786" s="635" t="s">
        <v>1800</v>
      </c>
      <c r="D1786" s="635"/>
      <c r="E1786" s="635" t="s">
        <v>1494</v>
      </c>
      <c r="F1786" s="465" t="s">
        <v>96</v>
      </c>
      <c r="G1786" s="466">
        <v>0</v>
      </c>
      <c r="H1786" s="466">
        <v>0.185</v>
      </c>
      <c r="I1786" s="467">
        <v>0.185</v>
      </c>
      <c r="J1786" s="468">
        <v>0</v>
      </c>
    </row>
    <row r="1787" spans="1:10" ht="12.75" outlineLevel="2">
      <c r="A1787" s="645">
        <v>2142118226</v>
      </c>
      <c r="B1787" s="635" t="s">
        <v>2353</v>
      </c>
      <c r="C1787" s="635" t="s">
        <v>1786</v>
      </c>
      <c r="D1787" s="635"/>
      <c r="E1787" s="635" t="s">
        <v>1494</v>
      </c>
      <c r="F1787" s="465" t="s">
        <v>96</v>
      </c>
      <c r="G1787" s="466">
        <v>0</v>
      </c>
      <c r="H1787" s="466">
        <v>0.185</v>
      </c>
      <c r="I1787" s="467">
        <v>0.185</v>
      </c>
      <c r="J1787" s="468">
        <v>0</v>
      </c>
    </row>
    <row r="1788" spans="1:10" ht="12.75" outlineLevel="2">
      <c r="A1788" s="645">
        <v>2142118227</v>
      </c>
      <c r="B1788" s="635" t="s">
        <v>2353</v>
      </c>
      <c r="C1788" s="635" t="s">
        <v>1804</v>
      </c>
      <c r="D1788" s="635"/>
      <c r="E1788" s="635" t="s">
        <v>1494</v>
      </c>
      <c r="F1788" s="465" t="s">
        <v>1845</v>
      </c>
      <c r="G1788" s="466">
        <v>0</v>
      </c>
      <c r="H1788" s="466">
        <v>0.008</v>
      </c>
      <c r="I1788" s="467">
        <v>0.007</v>
      </c>
      <c r="J1788" s="468">
        <v>0.001</v>
      </c>
    </row>
    <row r="1789" spans="1:10" ht="12.75" outlineLevel="2">
      <c r="A1789" s="645">
        <v>2142118227</v>
      </c>
      <c r="B1789" s="635" t="s">
        <v>2353</v>
      </c>
      <c r="C1789" s="635" t="s">
        <v>1804</v>
      </c>
      <c r="D1789" s="635"/>
      <c r="E1789" s="635" t="s">
        <v>1494</v>
      </c>
      <c r="F1789" s="465" t="s">
        <v>96</v>
      </c>
      <c r="G1789" s="466">
        <v>0</v>
      </c>
      <c r="H1789" s="466">
        <v>0.276</v>
      </c>
      <c r="I1789" s="467">
        <v>0.274</v>
      </c>
      <c r="J1789" s="468">
        <v>0.002</v>
      </c>
    </row>
    <row r="1790" spans="1:10" ht="12.75" outlineLevel="2">
      <c r="A1790" s="645">
        <v>2142118228</v>
      </c>
      <c r="B1790" s="635" t="s">
        <v>2354</v>
      </c>
      <c r="C1790" s="635" t="s">
        <v>1804</v>
      </c>
      <c r="D1790" s="635"/>
      <c r="E1790" s="635" t="s">
        <v>1494</v>
      </c>
      <c r="F1790" s="465" t="s">
        <v>1845</v>
      </c>
      <c r="G1790" s="466">
        <v>0</v>
      </c>
      <c r="H1790" s="466">
        <v>0.303</v>
      </c>
      <c r="I1790" s="467">
        <v>0.302</v>
      </c>
      <c r="J1790" s="468">
        <v>0.001</v>
      </c>
    </row>
    <row r="1791" spans="1:10" ht="12.75" outlineLevel="2">
      <c r="A1791" s="645">
        <v>2142118228</v>
      </c>
      <c r="B1791" s="635" t="s">
        <v>2354</v>
      </c>
      <c r="C1791" s="635" t="s">
        <v>1804</v>
      </c>
      <c r="D1791" s="635"/>
      <c r="E1791" s="635" t="s">
        <v>1494</v>
      </c>
      <c r="F1791" s="465" t="s">
        <v>96</v>
      </c>
      <c r="G1791" s="466">
        <v>0</v>
      </c>
      <c r="H1791" s="466">
        <v>0.047</v>
      </c>
      <c r="I1791" s="467">
        <v>0.047</v>
      </c>
      <c r="J1791" s="468">
        <v>0</v>
      </c>
    </row>
    <row r="1792" spans="1:10" ht="12.75" outlineLevel="2">
      <c r="A1792" s="645">
        <v>2142118229</v>
      </c>
      <c r="B1792" s="635" t="s">
        <v>2353</v>
      </c>
      <c r="C1792" s="635" t="s">
        <v>1792</v>
      </c>
      <c r="D1792" s="635"/>
      <c r="E1792" s="635" t="s">
        <v>1494</v>
      </c>
      <c r="F1792" s="465" t="s">
        <v>96</v>
      </c>
      <c r="G1792" s="466">
        <v>0</v>
      </c>
      <c r="H1792" s="466">
        <v>0.185</v>
      </c>
      <c r="I1792" s="467">
        <v>0.185</v>
      </c>
      <c r="J1792" s="468">
        <v>0</v>
      </c>
    </row>
    <row r="1793" spans="1:10" ht="12.75" outlineLevel="2">
      <c r="A1793" s="645">
        <v>2142118230</v>
      </c>
      <c r="B1793" s="635" t="s">
        <v>2353</v>
      </c>
      <c r="C1793" s="635" t="s">
        <v>1790</v>
      </c>
      <c r="D1793" s="635"/>
      <c r="E1793" s="635" t="s">
        <v>1494</v>
      </c>
      <c r="F1793" s="465" t="s">
        <v>96</v>
      </c>
      <c r="G1793" s="466">
        <v>0</v>
      </c>
      <c r="H1793" s="466">
        <v>0.185</v>
      </c>
      <c r="I1793" s="467">
        <v>0.185</v>
      </c>
      <c r="J1793" s="468">
        <v>0</v>
      </c>
    </row>
    <row r="1794" spans="1:10" ht="12.75" outlineLevel="2">
      <c r="A1794" s="645">
        <v>2142118231</v>
      </c>
      <c r="B1794" s="635" t="s">
        <v>2353</v>
      </c>
      <c r="C1794" s="635" t="s">
        <v>1798</v>
      </c>
      <c r="D1794" s="635"/>
      <c r="E1794" s="635" t="s">
        <v>1494</v>
      </c>
      <c r="F1794" s="465" t="s">
        <v>96</v>
      </c>
      <c r="G1794" s="466">
        <v>0</v>
      </c>
      <c r="H1794" s="466">
        <v>0.185</v>
      </c>
      <c r="I1794" s="467">
        <v>0.185</v>
      </c>
      <c r="J1794" s="468">
        <v>0</v>
      </c>
    </row>
    <row r="1795" spans="1:10" ht="12.75" outlineLevel="2">
      <c r="A1795" s="645">
        <v>2142118232</v>
      </c>
      <c r="B1795" s="635" t="s">
        <v>2353</v>
      </c>
      <c r="C1795" s="635" t="s">
        <v>1788</v>
      </c>
      <c r="D1795" s="635"/>
      <c r="E1795" s="635" t="s">
        <v>1494</v>
      </c>
      <c r="F1795" s="465" t="s">
        <v>96</v>
      </c>
      <c r="G1795" s="466">
        <v>0</v>
      </c>
      <c r="H1795" s="466">
        <v>0.185</v>
      </c>
      <c r="I1795" s="467">
        <v>0.185</v>
      </c>
      <c r="J1795" s="468">
        <v>0</v>
      </c>
    </row>
    <row r="1796" spans="1:10" ht="12.75" outlineLevel="2">
      <c r="A1796" s="645">
        <v>2142118233</v>
      </c>
      <c r="B1796" s="635" t="s">
        <v>2353</v>
      </c>
      <c r="C1796" s="635" t="s">
        <v>1784</v>
      </c>
      <c r="D1796" s="635"/>
      <c r="E1796" s="635" t="s">
        <v>1494</v>
      </c>
      <c r="F1796" s="465" t="s">
        <v>96</v>
      </c>
      <c r="G1796" s="466">
        <v>0</v>
      </c>
      <c r="H1796" s="466">
        <v>0.185</v>
      </c>
      <c r="I1796" s="467">
        <v>0.185</v>
      </c>
      <c r="J1796" s="468">
        <v>0</v>
      </c>
    </row>
    <row r="1797" spans="1:10" ht="12.75" outlineLevel="2">
      <c r="A1797" s="645">
        <v>2142118234</v>
      </c>
      <c r="B1797" s="635" t="s">
        <v>2353</v>
      </c>
      <c r="C1797" s="635" t="s">
        <v>1796</v>
      </c>
      <c r="D1797" s="635"/>
      <c r="E1797" s="635" t="s">
        <v>1494</v>
      </c>
      <c r="F1797" s="465" t="s">
        <v>96</v>
      </c>
      <c r="G1797" s="466">
        <v>0</v>
      </c>
      <c r="H1797" s="466">
        <v>0.185</v>
      </c>
      <c r="I1797" s="467">
        <v>0.185</v>
      </c>
      <c r="J1797" s="468">
        <v>0</v>
      </c>
    </row>
    <row r="1798" spans="1:10" ht="12.75" outlineLevel="2">
      <c r="A1798" s="645">
        <v>2142118235</v>
      </c>
      <c r="B1798" s="635" t="s">
        <v>2353</v>
      </c>
      <c r="C1798" s="635" t="s">
        <v>1806</v>
      </c>
      <c r="D1798" s="635"/>
      <c r="E1798" s="635" t="s">
        <v>1494</v>
      </c>
      <c r="F1798" s="465" t="s">
        <v>96</v>
      </c>
      <c r="G1798" s="466">
        <v>0</v>
      </c>
      <c r="H1798" s="466">
        <v>0.185</v>
      </c>
      <c r="I1798" s="467">
        <v>0.185</v>
      </c>
      <c r="J1798" s="468">
        <v>0</v>
      </c>
    </row>
    <row r="1799" spans="1:10" ht="12.75" outlineLevel="2">
      <c r="A1799" s="645">
        <v>2142118236</v>
      </c>
      <c r="B1799" s="635" t="s">
        <v>2353</v>
      </c>
      <c r="C1799" s="635" t="s">
        <v>1794</v>
      </c>
      <c r="D1799" s="635"/>
      <c r="E1799" s="635" t="s">
        <v>1494</v>
      </c>
      <c r="F1799" s="465" t="s">
        <v>96</v>
      </c>
      <c r="G1799" s="466">
        <v>0</v>
      </c>
      <c r="H1799" s="466">
        <v>0.185</v>
      </c>
      <c r="I1799" s="467">
        <v>0.185</v>
      </c>
      <c r="J1799" s="468">
        <v>0</v>
      </c>
    </row>
    <row r="1800" spans="1:10" ht="12.75" outlineLevel="2">
      <c r="A1800" s="645">
        <v>2142118237</v>
      </c>
      <c r="B1800" s="635" t="s">
        <v>2355</v>
      </c>
      <c r="C1800" s="635" t="s">
        <v>1802</v>
      </c>
      <c r="D1800" s="635"/>
      <c r="E1800" s="635" t="s">
        <v>1494</v>
      </c>
      <c r="F1800" s="465" t="s">
        <v>96</v>
      </c>
      <c r="G1800" s="466">
        <v>0</v>
      </c>
      <c r="H1800" s="466">
        <v>0.209</v>
      </c>
      <c r="I1800" s="467">
        <v>0.208</v>
      </c>
      <c r="J1800" s="468">
        <v>0.001</v>
      </c>
    </row>
    <row r="1801" spans="1:10" ht="12.75" outlineLevel="2">
      <c r="A1801" s="645">
        <v>2142118238</v>
      </c>
      <c r="B1801" s="635" t="s">
        <v>2356</v>
      </c>
      <c r="C1801" s="635" t="s">
        <v>1802</v>
      </c>
      <c r="D1801" s="635"/>
      <c r="E1801" s="635" t="s">
        <v>1494</v>
      </c>
      <c r="F1801" s="465" t="s">
        <v>96</v>
      </c>
      <c r="G1801" s="466">
        <v>0</v>
      </c>
      <c r="H1801" s="466">
        <v>0.092</v>
      </c>
      <c r="I1801" s="467">
        <v>0.091</v>
      </c>
      <c r="J1801" s="468">
        <v>0.001</v>
      </c>
    </row>
    <row r="1802" spans="1:10" ht="12.75" outlineLevel="2">
      <c r="A1802" s="645">
        <v>2142118239</v>
      </c>
      <c r="B1802" s="635" t="s">
        <v>2357</v>
      </c>
      <c r="C1802" s="635" t="s">
        <v>1802</v>
      </c>
      <c r="D1802" s="635"/>
      <c r="E1802" s="635" t="s">
        <v>1494</v>
      </c>
      <c r="F1802" s="465" t="s">
        <v>96</v>
      </c>
      <c r="G1802" s="466">
        <v>0</v>
      </c>
      <c r="H1802" s="466">
        <v>0.749</v>
      </c>
      <c r="I1802" s="467">
        <v>0.749</v>
      </c>
      <c r="J1802" s="468">
        <v>0</v>
      </c>
    </row>
    <row r="1803" spans="1:10" ht="12.75" outlineLevel="2">
      <c r="A1803" s="645">
        <v>2142118240</v>
      </c>
      <c r="B1803" s="635" t="s">
        <v>2358</v>
      </c>
      <c r="C1803" s="635" t="s">
        <v>1802</v>
      </c>
      <c r="D1803" s="635"/>
      <c r="E1803" s="635" t="s">
        <v>1494</v>
      </c>
      <c r="F1803" s="465" t="s">
        <v>96</v>
      </c>
      <c r="G1803" s="466">
        <v>0</v>
      </c>
      <c r="H1803" s="466">
        <v>0.394</v>
      </c>
      <c r="I1803" s="467">
        <v>0.394</v>
      </c>
      <c r="J1803" s="468">
        <v>0</v>
      </c>
    </row>
    <row r="1804" spans="1:10" ht="12.75" outlineLevel="2">
      <c r="A1804" s="645">
        <v>2142118241</v>
      </c>
      <c r="B1804" s="635" t="s">
        <v>2359</v>
      </c>
      <c r="C1804" s="635" t="s">
        <v>1802</v>
      </c>
      <c r="D1804" s="635"/>
      <c r="E1804" s="635" t="s">
        <v>1494</v>
      </c>
      <c r="F1804" s="465" t="s">
        <v>96</v>
      </c>
      <c r="G1804" s="466">
        <v>0</v>
      </c>
      <c r="H1804" s="466">
        <v>0.421</v>
      </c>
      <c r="I1804" s="467">
        <v>0.421</v>
      </c>
      <c r="J1804" s="468">
        <v>0</v>
      </c>
    </row>
    <row r="1805" spans="1:10" ht="12.75" outlineLevel="2">
      <c r="A1805" s="645">
        <v>2142118242</v>
      </c>
      <c r="B1805" s="635" t="s">
        <v>2360</v>
      </c>
      <c r="C1805" s="635" t="s">
        <v>1802</v>
      </c>
      <c r="D1805" s="635"/>
      <c r="E1805" s="635" t="s">
        <v>1494</v>
      </c>
      <c r="F1805" s="465" t="s">
        <v>96</v>
      </c>
      <c r="G1805" s="466">
        <v>0</v>
      </c>
      <c r="H1805" s="466">
        <v>0.202</v>
      </c>
      <c r="I1805" s="467">
        <v>0.202</v>
      </c>
      <c r="J1805" s="468">
        <v>0</v>
      </c>
    </row>
    <row r="1806" spans="1:10" ht="12.75" outlineLevel="2">
      <c r="A1806" s="645">
        <v>2142118243</v>
      </c>
      <c r="B1806" s="635" t="s">
        <v>2361</v>
      </c>
      <c r="C1806" s="635" t="s">
        <v>1792</v>
      </c>
      <c r="D1806" s="635"/>
      <c r="E1806" s="635" t="s">
        <v>1494</v>
      </c>
      <c r="F1806" s="465" t="s">
        <v>96</v>
      </c>
      <c r="G1806" s="466">
        <v>0</v>
      </c>
      <c r="H1806" s="466">
        <v>0.187</v>
      </c>
      <c r="I1806" s="467">
        <v>0.186</v>
      </c>
      <c r="J1806" s="468">
        <v>0.001</v>
      </c>
    </row>
    <row r="1807" spans="1:10" ht="12.75" outlineLevel="2">
      <c r="A1807" s="645">
        <v>2142118244</v>
      </c>
      <c r="B1807" s="635" t="s">
        <v>2362</v>
      </c>
      <c r="C1807" s="635" t="s">
        <v>1777</v>
      </c>
      <c r="D1807" s="635"/>
      <c r="E1807" s="635" t="s">
        <v>1494</v>
      </c>
      <c r="F1807" s="465" t="s">
        <v>1845</v>
      </c>
      <c r="G1807" s="466">
        <v>0</v>
      </c>
      <c r="H1807" s="466">
        <v>0.051</v>
      </c>
      <c r="I1807" s="467">
        <v>0.051</v>
      </c>
      <c r="J1807" s="468">
        <v>0</v>
      </c>
    </row>
    <row r="1808" spans="1:10" ht="12.75" outlineLevel="2">
      <c r="A1808" s="645">
        <v>2142118244</v>
      </c>
      <c r="B1808" s="635" t="s">
        <v>2362</v>
      </c>
      <c r="C1808" s="635" t="s">
        <v>1777</v>
      </c>
      <c r="D1808" s="635"/>
      <c r="E1808" s="635" t="s">
        <v>1494</v>
      </c>
      <c r="F1808" s="465" t="s">
        <v>96</v>
      </c>
      <c r="G1808" s="466">
        <v>0</v>
      </c>
      <c r="H1808" s="466">
        <v>0.11</v>
      </c>
      <c r="I1808" s="467">
        <v>0.109</v>
      </c>
      <c r="J1808" s="468">
        <v>0.001</v>
      </c>
    </row>
    <row r="1809" spans="1:10" ht="12.75" outlineLevel="2">
      <c r="A1809" s="645">
        <v>2142118245</v>
      </c>
      <c r="B1809" s="635" t="s">
        <v>2363</v>
      </c>
      <c r="C1809" s="635" t="s">
        <v>1777</v>
      </c>
      <c r="D1809" s="635"/>
      <c r="E1809" s="635" t="s">
        <v>1494</v>
      </c>
      <c r="F1809" s="465" t="s">
        <v>96</v>
      </c>
      <c r="G1809" s="466">
        <v>0</v>
      </c>
      <c r="H1809" s="466">
        <v>0.247</v>
      </c>
      <c r="I1809" s="467">
        <v>0.246</v>
      </c>
      <c r="J1809" s="468">
        <v>0.001</v>
      </c>
    </row>
    <row r="1810" spans="1:10" ht="12.75" outlineLevel="2">
      <c r="A1810" s="645">
        <v>2142118246</v>
      </c>
      <c r="B1810" s="635" t="s">
        <v>2364</v>
      </c>
      <c r="C1810" s="635" t="s">
        <v>1777</v>
      </c>
      <c r="D1810" s="635"/>
      <c r="E1810" s="635" t="s">
        <v>1494</v>
      </c>
      <c r="F1810" s="465" t="s">
        <v>96</v>
      </c>
      <c r="G1810" s="466">
        <v>0</v>
      </c>
      <c r="H1810" s="466">
        <v>11.84</v>
      </c>
      <c r="I1810" s="467">
        <v>11.779</v>
      </c>
      <c r="J1810" s="468">
        <v>0.061</v>
      </c>
    </row>
    <row r="1811" spans="1:10" ht="12.75" outlineLevel="2">
      <c r="A1811" s="645">
        <v>2142118247</v>
      </c>
      <c r="B1811" s="635" t="s">
        <v>2365</v>
      </c>
      <c r="C1811" s="635" t="s">
        <v>1782</v>
      </c>
      <c r="D1811" s="635"/>
      <c r="E1811" s="635" t="s">
        <v>1494</v>
      </c>
      <c r="F1811" s="465" t="s">
        <v>96</v>
      </c>
      <c r="G1811" s="466">
        <v>0</v>
      </c>
      <c r="H1811" s="466">
        <v>0.144</v>
      </c>
      <c r="I1811" s="467">
        <v>0.144</v>
      </c>
      <c r="J1811" s="468">
        <v>0</v>
      </c>
    </row>
    <row r="1812" spans="1:10" ht="12.75" outlineLevel="2">
      <c r="A1812" s="645">
        <v>2142118248</v>
      </c>
      <c r="B1812" s="635" t="s">
        <v>2366</v>
      </c>
      <c r="C1812" s="635" t="s">
        <v>1800</v>
      </c>
      <c r="D1812" s="635"/>
      <c r="E1812" s="635" t="s">
        <v>1494</v>
      </c>
      <c r="F1812" s="465" t="s">
        <v>96</v>
      </c>
      <c r="G1812" s="466">
        <v>0</v>
      </c>
      <c r="H1812" s="466">
        <v>0.102</v>
      </c>
      <c r="I1812" s="467">
        <v>0.102</v>
      </c>
      <c r="J1812" s="468">
        <v>0</v>
      </c>
    </row>
    <row r="1813" spans="1:10" ht="12.75" outlineLevel="2">
      <c r="A1813" s="645">
        <v>2142118249</v>
      </c>
      <c r="B1813" s="635" t="s">
        <v>2367</v>
      </c>
      <c r="C1813" s="635" t="s">
        <v>1786</v>
      </c>
      <c r="D1813" s="635"/>
      <c r="E1813" s="635" t="s">
        <v>1494</v>
      </c>
      <c r="F1813" s="465" t="s">
        <v>96</v>
      </c>
      <c r="G1813" s="466">
        <v>0</v>
      </c>
      <c r="H1813" s="466">
        <v>0.19</v>
      </c>
      <c r="I1813" s="467">
        <v>0.189</v>
      </c>
      <c r="J1813" s="468">
        <v>0.001</v>
      </c>
    </row>
    <row r="1814" spans="1:10" ht="12.75" outlineLevel="2">
      <c r="A1814" s="645">
        <v>2142118250</v>
      </c>
      <c r="B1814" s="635" t="s">
        <v>2368</v>
      </c>
      <c r="C1814" s="635" t="s">
        <v>1792</v>
      </c>
      <c r="D1814" s="635"/>
      <c r="E1814" s="635" t="s">
        <v>1494</v>
      </c>
      <c r="F1814" s="465" t="s">
        <v>96</v>
      </c>
      <c r="G1814" s="466">
        <v>0</v>
      </c>
      <c r="H1814" s="466">
        <v>0.123</v>
      </c>
      <c r="I1814" s="467">
        <v>0.122</v>
      </c>
      <c r="J1814" s="468">
        <v>0.001</v>
      </c>
    </row>
    <row r="1815" spans="1:10" ht="12.75" outlineLevel="2">
      <c r="A1815" s="645">
        <v>2142118251</v>
      </c>
      <c r="B1815" s="635" t="s">
        <v>1450</v>
      </c>
      <c r="C1815" s="635" t="s">
        <v>1792</v>
      </c>
      <c r="D1815" s="635"/>
      <c r="E1815" s="635" t="s">
        <v>1494</v>
      </c>
      <c r="F1815" s="465" t="s">
        <v>96</v>
      </c>
      <c r="G1815" s="466">
        <v>0</v>
      </c>
      <c r="H1815" s="466">
        <v>0.254</v>
      </c>
      <c r="I1815" s="467">
        <v>0.253</v>
      </c>
      <c r="J1815" s="468">
        <v>0.001</v>
      </c>
    </row>
    <row r="1816" spans="1:10" ht="12.75" outlineLevel="2">
      <c r="A1816" s="645">
        <v>2142118252</v>
      </c>
      <c r="B1816" s="635" t="s">
        <v>2366</v>
      </c>
      <c r="C1816" s="635" t="s">
        <v>1790</v>
      </c>
      <c r="D1816" s="635"/>
      <c r="E1816" s="635" t="s">
        <v>1494</v>
      </c>
      <c r="F1816" s="465" t="s">
        <v>96</v>
      </c>
      <c r="G1816" s="466">
        <v>0</v>
      </c>
      <c r="H1816" s="466">
        <v>0.092</v>
      </c>
      <c r="I1816" s="467">
        <v>0.092</v>
      </c>
      <c r="J1816" s="468">
        <v>0</v>
      </c>
    </row>
    <row r="1817" spans="1:10" ht="12.75" outlineLevel="2">
      <c r="A1817" s="645">
        <v>2142118253</v>
      </c>
      <c r="B1817" s="635" t="s">
        <v>2369</v>
      </c>
      <c r="C1817" s="635" t="s">
        <v>1790</v>
      </c>
      <c r="D1817" s="635"/>
      <c r="E1817" s="635" t="s">
        <v>1494</v>
      </c>
      <c r="F1817" s="465" t="s">
        <v>96</v>
      </c>
      <c r="G1817" s="466">
        <v>0</v>
      </c>
      <c r="H1817" s="466">
        <v>0.314</v>
      </c>
      <c r="I1817" s="467">
        <v>0.314</v>
      </c>
      <c r="J1817" s="468">
        <v>0</v>
      </c>
    </row>
    <row r="1818" spans="1:10" ht="12.75" outlineLevel="2">
      <c r="A1818" s="645">
        <v>2142118254</v>
      </c>
      <c r="B1818" s="635" t="s">
        <v>2370</v>
      </c>
      <c r="C1818" s="635" t="s">
        <v>1788</v>
      </c>
      <c r="D1818" s="635"/>
      <c r="E1818" s="635" t="s">
        <v>1494</v>
      </c>
      <c r="F1818" s="465" t="s">
        <v>96</v>
      </c>
      <c r="G1818" s="466">
        <v>0</v>
      </c>
      <c r="H1818" s="466">
        <v>0.165</v>
      </c>
      <c r="I1818" s="467">
        <v>0.165</v>
      </c>
      <c r="J1818" s="468">
        <v>0</v>
      </c>
    </row>
    <row r="1819" spans="1:10" ht="12.75" outlineLevel="2">
      <c r="A1819" s="645">
        <v>2142118255</v>
      </c>
      <c r="B1819" s="635" t="s">
        <v>2366</v>
      </c>
      <c r="C1819" s="635" t="s">
        <v>1806</v>
      </c>
      <c r="D1819" s="635"/>
      <c r="E1819" s="635" t="s">
        <v>1494</v>
      </c>
      <c r="F1819" s="465" t="s">
        <v>96</v>
      </c>
      <c r="G1819" s="466">
        <v>0</v>
      </c>
      <c r="H1819" s="466">
        <v>0.068</v>
      </c>
      <c r="I1819" s="467">
        <v>0.068</v>
      </c>
      <c r="J1819" s="468">
        <v>0</v>
      </c>
    </row>
    <row r="1820" spans="1:10" ht="12.75" outlineLevel="2">
      <c r="A1820" s="645">
        <v>2142118256</v>
      </c>
      <c r="B1820" s="635" t="s">
        <v>2371</v>
      </c>
      <c r="C1820" s="635" t="s">
        <v>1794</v>
      </c>
      <c r="D1820" s="635"/>
      <c r="E1820" s="635" t="s">
        <v>1494</v>
      </c>
      <c r="F1820" s="465" t="s">
        <v>1845</v>
      </c>
      <c r="G1820" s="466">
        <v>0</v>
      </c>
      <c r="H1820" s="466">
        <v>0.015</v>
      </c>
      <c r="I1820" s="467">
        <v>0.014</v>
      </c>
      <c r="J1820" s="468">
        <v>0.001</v>
      </c>
    </row>
    <row r="1821" spans="1:10" ht="12.75" outlineLevel="2">
      <c r="A1821" s="645">
        <v>2142118256</v>
      </c>
      <c r="B1821" s="635" t="s">
        <v>2371</v>
      </c>
      <c r="C1821" s="635" t="s">
        <v>1794</v>
      </c>
      <c r="D1821" s="635"/>
      <c r="E1821" s="635" t="s">
        <v>1494</v>
      </c>
      <c r="F1821" s="465" t="s">
        <v>96</v>
      </c>
      <c r="G1821" s="466">
        <v>0</v>
      </c>
      <c r="H1821" s="466">
        <v>0.082</v>
      </c>
      <c r="I1821" s="467">
        <v>0.081</v>
      </c>
      <c r="J1821" s="468">
        <v>0.001</v>
      </c>
    </row>
    <row r="1822" spans="1:10" ht="12.75" outlineLevel="2">
      <c r="A1822" s="645">
        <v>2142118257</v>
      </c>
      <c r="B1822" s="635" t="s">
        <v>2372</v>
      </c>
      <c r="C1822" s="635" t="s">
        <v>1777</v>
      </c>
      <c r="D1822" s="635"/>
      <c r="E1822" s="635" t="s">
        <v>1494</v>
      </c>
      <c r="F1822" s="465" t="s">
        <v>96</v>
      </c>
      <c r="G1822" s="466">
        <v>0</v>
      </c>
      <c r="H1822" s="466">
        <v>0.335</v>
      </c>
      <c r="I1822" s="467">
        <v>0.335</v>
      </c>
      <c r="J1822" s="468">
        <v>0</v>
      </c>
    </row>
    <row r="1823" spans="1:10" ht="12.75" outlineLevel="2">
      <c r="A1823" s="645">
        <v>2142118258</v>
      </c>
      <c r="B1823" s="635" t="s">
        <v>2373</v>
      </c>
      <c r="C1823" s="635" t="s">
        <v>1777</v>
      </c>
      <c r="D1823" s="635"/>
      <c r="E1823" s="635" t="s">
        <v>1494</v>
      </c>
      <c r="F1823" s="465" t="s">
        <v>96</v>
      </c>
      <c r="G1823" s="466">
        <v>0</v>
      </c>
      <c r="H1823" s="466">
        <v>0.58</v>
      </c>
      <c r="I1823" s="467">
        <v>0.58</v>
      </c>
      <c r="J1823" s="468">
        <v>0</v>
      </c>
    </row>
    <row r="1824" spans="1:10" ht="12.75" outlineLevel="2">
      <c r="A1824" s="645">
        <v>2142118259</v>
      </c>
      <c r="B1824" s="635" t="s">
        <v>2374</v>
      </c>
      <c r="C1824" s="635" t="s">
        <v>1784</v>
      </c>
      <c r="D1824" s="635"/>
      <c r="E1824" s="635" t="s">
        <v>1494</v>
      </c>
      <c r="F1824" s="465" t="s">
        <v>96</v>
      </c>
      <c r="G1824" s="466">
        <v>0</v>
      </c>
      <c r="H1824" s="466">
        <v>0.103</v>
      </c>
      <c r="I1824" s="467">
        <v>0.103</v>
      </c>
      <c r="J1824" s="468">
        <v>0</v>
      </c>
    </row>
    <row r="1825" spans="1:10" ht="12.75" outlineLevel="2">
      <c r="A1825" s="645">
        <v>2142118260</v>
      </c>
      <c r="B1825" s="635" t="s">
        <v>2375</v>
      </c>
      <c r="C1825" s="635" t="s">
        <v>1794</v>
      </c>
      <c r="D1825" s="635"/>
      <c r="E1825" s="635" t="s">
        <v>1494</v>
      </c>
      <c r="F1825" s="465" t="s">
        <v>96</v>
      </c>
      <c r="G1825" s="466">
        <v>0</v>
      </c>
      <c r="H1825" s="466">
        <v>0.137</v>
      </c>
      <c r="I1825" s="467">
        <v>0.137</v>
      </c>
      <c r="J1825" s="468">
        <v>0</v>
      </c>
    </row>
    <row r="1826" spans="1:10" ht="12.75" outlineLevel="2">
      <c r="A1826" s="645">
        <v>2142118261</v>
      </c>
      <c r="B1826" s="635" t="s">
        <v>2376</v>
      </c>
      <c r="C1826" s="635" t="s">
        <v>1794</v>
      </c>
      <c r="D1826" s="635"/>
      <c r="E1826" s="635" t="s">
        <v>1494</v>
      </c>
      <c r="F1826" s="465" t="s">
        <v>96</v>
      </c>
      <c r="G1826" s="466">
        <v>0</v>
      </c>
      <c r="H1826" s="466">
        <v>0.059</v>
      </c>
      <c r="I1826" s="467">
        <v>0.058</v>
      </c>
      <c r="J1826" s="468">
        <v>0.001</v>
      </c>
    </row>
    <row r="1827" spans="1:10" ht="12.75" outlineLevel="2">
      <c r="A1827" s="645">
        <v>2142118262</v>
      </c>
      <c r="B1827" s="635" t="s">
        <v>2377</v>
      </c>
      <c r="C1827" s="635" t="s">
        <v>1777</v>
      </c>
      <c r="D1827" s="635"/>
      <c r="E1827" s="635" t="s">
        <v>1494</v>
      </c>
      <c r="F1827" s="465" t="s">
        <v>96</v>
      </c>
      <c r="G1827" s="466">
        <v>0</v>
      </c>
      <c r="H1827" s="466">
        <v>0.568</v>
      </c>
      <c r="I1827" s="467">
        <v>0.568</v>
      </c>
      <c r="J1827" s="468">
        <v>0</v>
      </c>
    </row>
    <row r="1828" spans="1:10" ht="12.75" outlineLevel="2">
      <c r="A1828" s="645">
        <v>2142118263</v>
      </c>
      <c r="B1828" s="635" t="s">
        <v>2378</v>
      </c>
      <c r="C1828" s="635" t="s">
        <v>1806</v>
      </c>
      <c r="D1828" s="635"/>
      <c r="E1828" s="635" t="s">
        <v>1494</v>
      </c>
      <c r="F1828" s="465" t="s">
        <v>96</v>
      </c>
      <c r="G1828" s="466">
        <v>0</v>
      </c>
      <c r="H1828" s="466">
        <v>0.55</v>
      </c>
      <c r="I1828" s="467">
        <v>0.55</v>
      </c>
      <c r="J1828" s="468">
        <v>0</v>
      </c>
    </row>
    <row r="1829" spans="1:10" ht="12.75" outlineLevel="2">
      <c r="A1829" s="645">
        <v>2142118264</v>
      </c>
      <c r="B1829" s="635" t="s">
        <v>2379</v>
      </c>
      <c r="C1829" s="635" t="s">
        <v>1777</v>
      </c>
      <c r="D1829" s="635"/>
      <c r="E1829" s="635" t="s">
        <v>1494</v>
      </c>
      <c r="F1829" s="465" t="s">
        <v>1845</v>
      </c>
      <c r="G1829" s="466">
        <v>0</v>
      </c>
      <c r="H1829" s="466">
        <v>0.012</v>
      </c>
      <c r="I1829" s="467">
        <v>0.012</v>
      </c>
      <c r="J1829" s="468">
        <v>0</v>
      </c>
    </row>
    <row r="1830" spans="1:10" ht="12.75" outlineLevel="2">
      <c r="A1830" s="645">
        <v>2142118264</v>
      </c>
      <c r="B1830" s="635" t="s">
        <v>2379</v>
      </c>
      <c r="C1830" s="635" t="s">
        <v>1777</v>
      </c>
      <c r="D1830" s="635"/>
      <c r="E1830" s="635" t="s">
        <v>1494</v>
      </c>
      <c r="F1830" s="465" t="s">
        <v>96</v>
      </c>
      <c r="G1830" s="466">
        <v>0</v>
      </c>
      <c r="H1830" s="466">
        <v>0.929</v>
      </c>
      <c r="I1830" s="467">
        <v>0.928</v>
      </c>
      <c r="J1830" s="468">
        <v>0.001</v>
      </c>
    </row>
    <row r="1831" spans="1:10" ht="12.75" outlineLevel="2">
      <c r="A1831" s="645">
        <v>2142118265</v>
      </c>
      <c r="B1831" s="635" t="s">
        <v>2380</v>
      </c>
      <c r="C1831" s="635" t="s">
        <v>1777</v>
      </c>
      <c r="D1831" s="635"/>
      <c r="E1831" s="635" t="s">
        <v>1494</v>
      </c>
      <c r="F1831" s="465" t="s">
        <v>96</v>
      </c>
      <c r="G1831" s="466">
        <v>0</v>
      </c>
      <c r="H1831" s="466">
        <v>0.75</v>
      </c>
      <c r="I1831" s="467">
        <v>0.749</v>
      </c>
      <c r="J1831" s="468">
        <v>0.001</v>
      </c>
    </row>
    <row r="1832" spans="1:10" ht="12.75" outlineLevel="2">
      <c r="A1832" s="645">
        <v>2142118266</v>
      </c>
      <c r="B1832" s="635" t="s">
        <v>2381</v>
      </c>
      <c r="C1832" s="635" t="s">
        <v>1777</v>
      </c>
      <c r="D1832" s="635"/>
      <c r="E1832" s="635" t="s">
        <v>1494</v>
      </c>
      <c r="F1832" s="465" t="s">
        <v>96</v>
      </c>
      <c r="G1832" s="466">
        <v>0</v>
      </c>
      <c r="H1832" s="466">
        <v>1.19</v>
      </c>
      <c r="I1832" s="467">
        <v>1.19</v>
      </c>
      <c r="J1832" s="468">
        <v>0</v>
      </c>
    </row>
    <row r="1833" spans="1:10" ht="12.75" outlineLevel="2">
      <c r="A1833" s="645">
        <v>2142118267</v>
      </c>
      <c r="B1833" s="635" t="s">
        <v>2382</v>
      </c>
      <c r="C1833" s="635" t="s">
        <v>1782</v>
      </c>
      <c r="D1833" s="635"/>
      <c r="E1833" s="635" t="s">
        <v>1494</v>
      </c>
      <c r="F1833" s="465" t="s">
        <v>1845</v>
      </c>
      <c r="G1833" s="466">
        <v>0</v>
      </c>
      <c r="H1833" s="466">
        <v>0.053</v>
      </c>
      <c r="I1833" s="467">
        <v>0.053</v>
      </c>
      <c r="J1833" s="468">
        <v>0</v>
      </c>
    </row>
    <row r="1834" spans="1:10" ht="12.75" outlineLevel="2">
      <c r="A1834" s="645">
        <v>2142118267</v>
      </c>
      <c r="B1834" s="635" t="s">
        <v>2382</v>
      </c>
      <c r="C1834" s="635" t="s">
        <v>1782</v>
      </c>
      <c r="D1834" s="635"/>
      <c r="E1834" s="635" t="s">
        <v>1494</v>
      </c>
      <c r="F1834" s="465" t="s">
        <v>96</v>
      </c>
      <c r="G1834" s="466">
        <v>0</v>
      </c>
      <c r="H1834" s="466">
        <v>0.406</v>
      </c>
      <c r="I1834" s="467">
        <v>0.405</v>
      </c>
      <c r="J1834" s="468">
        <v>0.001</v>
      </c>
    </row>
    <row r="1835" spans="1:10" ht="12.75" outlineLevel="2">
      <c r="A1835" s="645">
        <v>2142118268</v>
      </c>
      <c r="B1835" s="635" t="s">
        <v>2383</v>
      </c>
      <c r="C1835" s="635" t="s">
        <v>1784</v>
      </c>
      <c r="D1835" s="635"/>
      <c r="E1835" s="635" t="s">
        <v>1494</v>
      </c>
      <c r="F1835" s="465" t="s">
        <v>96</v>
      </c>
      <c r="G1835" s="466">
        <v>0</v>
      </c>
      <c r="H1835" s="466">
        <v>0.268</v>
      </c>
      <c r="I1835" s="467">
        <v>0.268</v>
      </c>
      <c r="J1835" s="468">
        <v>0</v>
      </c>
    </row>
    <row r="1836" spans="1:10" ht="12.75" outlineLevel="2">
      <c r="A1836" s="645">
        <v>2142118269</v>
      </c>
      <c r="B1836" s="635" t="s">
        <v>2384</v>
      </c>
      <c r="C1836" s="635" t="s">
        <v>1777</v>
      </c>
      <c r="D1836" s="635"/>
      <c r="E1836" s="635" t="s">
        <v>1494</v>
      </c>
      <c r="F1836" s="465" t="s">
        <v>1845</v>
      </c>
      <c r="G1836" s="466">
        <v>0</v>
      </c>
      <c r="H1836" s="466">
        <v>0.162</v>
      </c>
      <c r="I1836" s="467">
        <v>0.161</v>
      </c>
      <c r="J1836" s="468">
        <v>0.001</v>
      </c>
    </row>
    <row r="1837" spans="1:10" ht="12.75" outlineLevel="2">
      <c r="A1837" s="645">
        <v>2142118269</v>
      </c>
      <c r="B1837" s="635" t="s">
        <v>2384</v>
      </c>
      <c r="C1837" s="635" t="s">
        <v>1777</v>
      </c>
      <c r="D1837" s="635"/>
      <c r="E1837" s="635" t="s">
        <v>1494</v>
      </c>
      <c r="F1837" s="465" t="s">
        <v>96</v>
      </c>
      <c r="G1837" s="466">
        <v>0</v>
      </c>
      <c r="H1837" s="466">
        <v>0.528</v>
      </c>
      <c r="I1837" s="467">
        <v>0.528</v>
      </c>
      <c r="J1837" s="468">
        <v>0</v>
      </c>
    </row>
    <row r="1838" spans="1:10" ht="12.75" outlineLevel="2">
      <c r="A1838" s="645">
        <v>2142118270</v>
      </c>
      <c r="B1838" s="635" t="s">
        <v>2385</v>
      </c>
      <c r="C1838" s="635" t="s">
        <v>1788</v>
      </c>
      <c r="D1838" s="635"/>
      <c r="E1838" s="635" t="s">
        <v>1494</v>
      </c>
      <c r="F1838" s="465" t="s">
        <v>96</v>
      </c>
      <c r="G1838" s="466">
        <v>0</v>
      </c>
      <c r="H1838" s="466">
        <v>0.874</v>
      </c>
      <c r="I1838" s="467">
        <v>0.874</v>
      </c>
      <c r="J1838" s="468">
        <v>0</v>
      </c>
    </row>
    <row r="1839" spans="1:10" ht="12.75" outlineLevel="2">
      <c r="A1839" s="645">
        <v>2142118271</v>
      </c>
      <c r="B1839" s="635" t="s">
        <v>2386</v>
      </c>
      <c r="C1839" s="635" t="s">
        <v>1784</v>
      </c>
      <c r="D1839" s="635"/>
      <c r="E1839" s="635" t="s">
        <v>1494</v>
      </c>
      <c r="F1839" s="465" t="s">
        <v>96</v>
      </c>
      <c r="G1839" s="466">
        <v>0</v>
      </c>
      <c r="H1839" s="466">
        <v>0.44</v>
      </c>
      <c r="I1839" s="467">
        <v>0.44</v>
      </c>
      <c r="J1839" s="468">
        <v>0</v>
      </c>
    </row>
    <row r="1840" spans="1:10" ht="12.75" outlineLevel="2">
      <c r="A1840" s="645">
        <v>2142118272</v>
      </c>
      <c r="B1840" s="635" t="s">
        <v>2387</v>
      </c>
      <c r="C1840" s="635" t="s">
        <v>1541</v>
      </c>
      <c r="D1840" s="635"/>
      <c r="E1840" s="635" t="s">
        <v>1494</v>
      </c>
      <c r="F1840" s="465" t="s">
        <v>1845</v>
      </c>
      <c r="G1840" s="466">
        <v>0</v>
      </c>
      <c r="H1840" s="466">
        <v>0.101</v>
      </c>
      <c r="I1840" s="467">
        <v>0.101</v>
      </c>
      <c r="J1840" s="468">
        <v>0</v>
      </c>
    </row>
    <row r="1841" spans="1:10" ht="12.75" outlineLevel="2">
      <c r="A1841" s="645">
        <v>2142118273</v>
      </c>
      <c r="B1841" s="635" t="s">
        <v>2388</v>
      </c>
      <c r="C1841" s="635" t="s">
        <v>1788</v>
      </c>
      <c r="D1841" s="635"/>
      <c r="E1841" s="635" t="s">
        <v>1494</v>
      </c>
      <c r="F1841" s="465" t="s">
        <v>333</v>
      </c>
      <c r="G1841" s="466">
        <v>0</v>
      </c>
      <c r="H1841" s="466">
        <v>0</v>
      </c>
      <c r="I1841" s="467">
        <v>0.511</v>
      </c>
      <c r="J1841" s="468">
        <v>0</v>
      </c>
    </row>
    <row r="1842" spans="1:10" ht="12.75" outlineLevel="2">
      <c r="A1842" s="645">
        <v>2142118275</v>
      </c>
      <c r="B1842" s="635" t="s">
        <v>2358</v>
      </c>
      <c r="C1842" s="635" t="s">
        <v>1794</v>
      </c>
      <c r="D1842" s="635"/>
      <c r="E1842" s="635" t="s">
        <v>1494</v>
      </c>
      <c r="F1842" s="465" t="s">
        <v>96</v>
      </c>
      <c r="G1842" s="466">
        <v>0</v>
      </c>
      <c r="H1842" s="466">
        <v>0.07</v>
      </c>
      <c r="I1842" s="467">
        <v>0.07</v>
      </c>
      <c r="J1842" s="468">
        <v>0</v>
      </c>
    </row>
    <row r="1843" spans="1:10" ht="12.75" outlineLevel="2">
      <c r="A1843" s="645">
        <v>2142118276</v>
      </c>
      <c r="B1843" s="635" t="s">
        <v>2389</v>
      </c>
      <c r="C1843" s="635" t="s">
        <v>1777</v>
      </c>
      <c r="D1843" s="635"/>
      <c r="E1843" s="635" t="s">
        <v>1494</v>
      </c>
      <c r="F1843" s="465" t="s">
        <v>1845</v>
      </c>
      <c r="G1843" s="466">
        <v>0</v>
      </c>
      <c r="H1843" s="466">
        <v>0.072</v>
      </c>
      <c r="I1843" s="467">
        <v>0.072</v>
      </c>
      <c r="J1843" s="468">
        <v>0</v>
      </c>
    </row>
    <row r="1844" spans="1:10" ht="12.75" outlineLevel="2">
      <c r="A1844" s="645">
        <v>2142118277</v>
      </c>
      <c r="B1844" s="635" t="s">
        <v>2390</v>
      </c>
      <c r="C1844" s="635" t="s">
        <v>1777</v>
      </c>
      <c r="D1844" s="635"/>
      <c r="E1844" s="635" t="s">
        <v>1494</v>
      </c>
      <c r="F1844" s="465" t="s">
        <v>96</v>
      </c>
      <c r="G1844" s="466">
        <v>0</v>
      </c>
      <c r="H1844" s="466">
        <v>0.12</v>
      </c>
      <c r="I1844" s="467">
        <v>0.12</v>
      </c>
      <c r="J1844" s="468">
        <v>0</v>
      </c>
    </row>
    <row r="1845" spans="1:10" ht="12.75" outlineLevel="2">
      <c r="A1845" s="645">
        <v>2142118278</v>
      </c>
      <c r="B1845" s="635" t="s">
        <v>2391</v>
      </c>
      <c r="C1845" s="635" t="s">
        <v>1777</v>
      </c>
      <c r="D1845" s="635"/>
      <c r="E1845" s="635" t="s">
        <v>1494</v>
      </c>
      <c r="F1845" s="465" t="s">
        <v>96</v>
      </c>
      <c r="G1845" s="466">
        <v>0</v>
      </c>
      <c r="H1845" s="466">
        <v>0.65</v>
      </c>
      <c r="I1845" s="467">
        <v>0.649</v>
      </c>
      <c r="J1845" s="468">
        <v>0.001</v>
      </c>
    </row>
    <row r="1846" spans="1:10" ht="12.75" outlineLevel="2">
      <c r="A1846" s="645">
        <v>2142118279</v>
      </c>
      <c r="B1846" s="635" t="s">
        <v>2392</v>
      </c>
      <c r="C1846" s="635" t="s">
        <v>1780</v>
      </c>
      <c r="D1846" s="635"/>
      <c r="E1846" s="635" t="s">
        <v>1494</v>
      </c>
      <c r="F1846" s="465" t="s">
        <v>96</v>
      </c>
      <c r="G1846" s="466">
        <v>0</v>
      </c>
      <c r="H1846" s="466">
        <v>0.5</v>
      </c>
      <c r="I1846" s="467">
        <v>0.5</v>
      </c>
      <c r="J1846" s="468">
        <v>0</v>
      </c>
    </row>
    <row r="1847" spans="1:10" ht="12.75" outlineLevel="2">
      <c r="A1847" s="645">
        <v>2142118280</v>
      </c>
      <c r="B1847" s="635" t="s">
        <v>2393</v>
      </c>
      <c r="C1847" s="635" t="s">
        <v>1782</v>
      </c>
      <c r="D1847" s="635"/>
      <c r="E1847" s="635" t="s">
        <v>1494</v>
      </c>
      <c r="F1847" s="465" t="s">
        <v>96</v>
      </c>
      <c r="G1847" s="466">
        <v>0</v>
      </c>
      <c r="H1847" s="466">
        <v>0.6</v>
      </c>
      <c r="I1847" s="467">
        <v>0.575</v>
      </c>
      <c r="J1847" s="468">
        <v>0.025</v>
      </c>
    </row>
    <row r="1848" spans="1:10" ht="12.75" outlineLevel="2">
      <c r="A1848" s="645">
        <v>2142118281</v>
      </c>
      <c r="B1848" s="635" t="s">
        <v>2394</v>
      </c>
      <c r="C1848" s="635" t="s">
        <v>1800</v>
      </c>
      <c r="D1848" s="635"/>
      <c r="E1848" s="635" t="s">
        <v>1494</v>
      </c>
      <c r="F1848" s="465" t="s">
        <v>96</v>
      </c>
      <c r="G1848" s="466">
        <v>0</v>
      </c>
      <c r="H1848" s="466">
        <v>0.124</v>
      </c>
      <c r="I1848" s="467">
        <v>0.123</v>
      </c>
      <c r="J1848" s="468">
        <v>0.001</v>
      </c>
    </row>
    <row r="1849" spans="1:10" ht="12.75" outlineLevel="2">
      <c r="A1849" s="645">
        <v>2142118282</v>
      </c>
      <c r="B1849" s="635" t="s">
        <v>2395</v>
      </c>
      <c r="C1849" s="635" t="s">
        <v>1794</v>
      </c>
      <c r="D1849" s="635"/>
      <c r="E1849" s="635" t="s">
        <v>1494</v>
      </c>
      <c r="F1849" s="465" t="s">
        <v>96</v>
      </c>
      <c r="G1849" s="466">
        <v>0</v>
      </c>
      <c r="H1849" s="466">
        <v>0.538</v>
      </c>
      <c r="I1849" s="467">
        <v>0.537</v>
      </c>
      <c r="J1849" s="468">
        <v>0.001</v>
      </c>
    </row>
    <row r="1850" spans="1:10" ht="12.75" outlineLevel="2">
      <c r="A1850" s="645">
        <v>2142118283</v>
      </c>
      <c r="B1850" s="635" t="s">
        <v>2396</v>
      </c>
      <c r="C1850" s="635" t="s">
        <v>1777</v>
      </c>
      <c r="D1850" s="635"/>
      <c r="E1850" s="635" t="s">
        <v>1494</v>
      </c>
      <c r="F1850" s="465" t="s">
        <v>96</v>
      </c>
      <c r="G1850" s="466">
        <v>0</v>
      </c>
      <c r="H1850" s="466">
        <v>1.6</v>
      </c>
      <c r="I1850" s="467">
        <v>1.597</v>
      </c>
      <c r="J1850" s="468">
        <v>0.003</v>
      </c>
    </row>
    <row r="1851" spans="1:10" ht="12.75" outlineLevel="2">
      <c r="A1851" s="645">
        <v>2142118284</v>
      </c>
      <c r="B1851" s="635" t="s">
        <v>2397</v>
      </c>
      <c r="C1851" s="635" t="s">
        <v>1777</v>
      </c>
      <c r="D1851" s="635"/>
      <c r="E1851" s="635" t="s">
        <v>1494</v>
      </c>
      <c r="F1851" s="465" t="s">
        <v>96</v>
      </c>
      <c r="G1851" s="466">
        <v>0</v>
      </c>
      <c r="H1851" s="466">
        <v>0.073</v>
      </c>
      <c r="I1851" s="467">
        <v>0.045</v>
      </c>
      <c r="J1851" s="468">
        <v>0.028</v>
      </c>
    </row>
    <row r="1852" spans="1:10" ht="12.75" outlineLevel="2">
      <c r="A1852" s="645">
        <v>2142118285</v>
      </c>
      <c r="B1852" s="635" t="s">
        <v>2398</v>
      </c>
      <c r="C1852" s="635" t="s">
        <v>1777</v>
      </c>
      <c r="D1852" s="635"/>
      <c r="E1852" s="635" t="s">
        <v>1494</v>
      </c>
      <c r="F1852" s="465" t="s">
        <v>96</v>
      </c>
      <c r="G1852" s="466">
        <v>0</v>
      </c>
      <c r="H1852" s="466">
        <v>0.111</v>
      </c>
      <c r="I1852" s="467">
        <v>0.104</v>
      </c>
      <c r="J1852" s="468">
        <v>0.007</v>
      </c>
    </row>
    <row r="1853" spans="1:10" ht="12.75" outlineLevel="2">
      <c r="A1853" s="645">
        <v>2142118286</v>
      </c>
      <c r="B1853" s="635" t="s">
        <v>2399</v>
      </c>
      <c r="C1853" s="635" t="s">
        <v>1777</v>
      </c>
      <c r="D1853" s="635"/>
      <c r="E1853" s="635" t="s">
        <v>1494</v>
      </c>
      <c r="F1853" s="465" t="s">
        <v>96</v>
      </c>
      <c r="G1853" s="466">
        <v>0</v>
      </c>
      <c r="H1853" s="466">
        <v>1.785</v>
      </c>
      <c r="I1853" s="467">
        <v>1.785</v>
      </c>
      <c r="J1853" s="468">
        <v>0</v>
      </c>
    </row>
    <row r="1854" spans="1:10" ht="12.75" outlineLevel="2">
      <c r="A1854" s="645">
        <v>2142118287</v>
      </c>
      <c r="B1854" s="635" t="s">
        <v>2400</v>
      </c>
      <c r="C1854" s="635" t="s">
        <v>1777</v>
      </c>
      <c r="D1854" s="635"/>
      <c r="E1854" s="635" t="s">
        <v>1494</v>
      </c>
      <c r="F1854" s="465" t="s">
        <v>96</v>
      </c>
      <c r="G1854" s="466">
        <v>0</v>
      </c>
      <c r="H1854" s="466">
        <v>0.4</v>
      </c>
      <c r="I1854" s="467">
        <v>0.399</v>
      </c>
      <c r="J1854" s="468">
        <v>0.001</v>
      </c>
    </row>
    <row r="1855" spans="1:10" ht="12.75" outlineLevel="2">
      <c r="A1855" s="645">
        <v>2142118288</v>
      </c>
      <c r="B1855" s="635" t="s">
        <v>2401</v>
      </c>
      <c r="C1855" s="635" t="s">
        <v>1777</v>
      </c>
      <c r="D1855" s="635"/>
      <c r="E1855" s="635" t="s">
        <v>1494</v>
      </c>
      <c r="F1855" s="465" t="s">
        <v>96</v>
      </c>
      <c r="G1855" s="466">
        <v>0</v>
      </c>
      <c r="H1855" s="466">
        <v>0.52</v>
      </c>
      <c r="I1855" s="467">
        <v>0.514</v>
      </c>
      <c r="J1855" s="468">
        <v>0.006</v>
      </c>
    </row>
    <row r="1856" spans="1:10" ht="12.75" outlineLevel="2">
      <c r="A1856" s="645">
        <v>2142118289</v>
      </c>
      <c r="B1856" s="635" t="s">
        <v>2402</v>
      </c>
      <c r="C1856" s="635" t="s">
        <v>1792</v>
      </c>
      <c r="D1856" s="635"/>
      <c r="E1856" s="635" t="s">
        <v>1494</v>
      </c>
      <c r="F1856" s="465" t="s">
        <v>96</v>
      </c>
      <c r="G1856" s="466">
        <v>0</v>
      </c>
      <c r="H1856" s="466">
        <v>0.059</v>
      </c>
      <c r="I1856" s="467">
        <v>0.059</v>
      </c>
      <c r="J1856" s="468">
        <v>0</v>
      </c>
    </row>
    <row r="1857" spans="1:10" ht="12.75" outlineLevel="2">
      <c r="A1857" s="645">
        <v>2142126034</v>
      </c>
      <c r="B1857" s="635" t="s">
        <v>167</v>
      </c>
      <c r="C1857" s="635" t="s">
        <v>1777</v>
      </c>
      <c r="D1857" s="635"/>
      <c r="E1857" s="635" t="s">
        <v>1494</v>
      </c>
      <c r="F1857" s="465" t="s">
        <v>96</v>
      </c>
      <c r="G1857" s="466">
        <v>20</v>
      </c>
      <c r="H1857" s="466">
        <v>20.209</v>
      </c>
      <c r="I1857" s="467">
        <v>20.207</v>
      </c>
      <c r="J1857" s="468">
        <v>0.002</v>
      </c>
    </row>
    <row r="1858" spans="1:10" ht="12.75" outlineLevel="2">
      <c r="A1858" s="645">
        <v>2142126090</v>
      </c>
      <c r="B1858" s="635" t="s">
        <v>168</v>
      </c>
      <c r="C1858" s="635" t="s">
        <v>1806</v>
      </c>
      <c r="D1858" s="635"/>
      <c r="E1858" s="635" t="s">
        <v>1494</v>
      </c>
      <c r="F1858" s="465" t="s">
        <v>96</v>
      </c>
      <c r="G1858" s="466">
        <v>0</v>
      </c>
      <c r="H1858" s="466">
        <v>0.494</v>
      </c>
      <c r="I1858" s="467">
        <v>0.493</v>
      </c>
      <c r="J1858" s="468">
        <v>0.001</v>
      </c>
    </row>
    <row r="1859" spans="1:10" ht="12.75" outlineLevel="2">
      <c r="A1859" s="645">
        <v>2142127027</v>
      </c>
      <c r="B1859" s="635" t="s">
        <v>169</v>
      </c>
      <c r="C1859" s="635" t="s">
        <v>1798</v>
      </c>
      <c r="D1859" s="635"/>
      <c r="E1859" s="635" t="s">
        <v>1494</v>
      </c>
      <c r="F1859" s="465" t="s">
        <v>96</v>
      </c>
      <c r="G1859" s="466">
        <v>0.531</v>
      </c>
      <c r="H1859" s="466">
        <v>0.587</v>
      </c>
      <c r="I1859" s="467">
        <v>0.587</v>
      </c>
      <c r="J1859" s="468">
        <v>0</v>
      </c>
    </row>
    <row r="1860" spans="1:10" ht="12.75" outlineLevel="2">
      <c r="A1860" s="645">
        <v>2142127053</v>
      </c>
      <c r="B1860" s="635" t="s">
        <v>475</v>
      </c>
      <c r="C1860" s="635" t="s">
        <v>1777</v>
      </c>
      <c r="D1860" s="635"/>
      <c r="E1860" s="635" t="s">
        <v>1533</v>
      </c>
      <c r="F1860" s="465" t="s">
        <v>96</v>
      </c>
      <c r="G1860" s="466">
        <v>15</v>
      </c>
      <c r="H1860" s="466">
        <v>0</v>
      </c>
      <c r="I1860" s="467">
        <v>0</v>
      </c>
      <c r="J1860" s="468">
        <v>0</v>
      </c>
    </row>
    <row r="1861" spans="1:10" ht="12.75" outlineLevel="2">
      <c r="A1861" s="645">
        <v>2142128001</v>
      </c>
      <c r="B1861" s="635" t="s">
        <v>170</v>
      </c>
      <c r="C1861" s="635" t="s">
        <v>1777</v>
      </c>
      <c r="D1861" s="635"/>
      <c r="E1861" s="635" t="s">
        <v>1494</v>
      </c>
      <c r="F1861" s="465" t="s">
        <v>1845</v>
      </c>
      <c r="G1861" s="466">
        <v>1.5</v>
      </c>
      <c r="H1861" s="466">
        <v>1.5</v>
      </c>
      <c r="I1861" s="467">
        <v>1.5</v>
      </c>
      <c r="J1861" s="468">
        <v>0</v>
      </c>
    </row>
    <row r="1862" spans="1:10" ht="12.75" outlineLevel="2">
      <c r="A1862" s="645">
        <v>2142128002</v>
      </c>
      <c r="B1862" s="635" t="s">
        <v>171</v>
      </c>
      <c r="C1862" s="635" t="s">
        <v>1777</v>
      </c>
      <c r="D1862" s="635"/>
      <c r="E1862" s="635" t="s">
        <v>1494</v>
      </c>
      <c r="F1862" s="465" t="s">
        <v>1845</v>
      </c>
      <c r="G1862" s="466">
        <v>0.6</v>
      </c>
      <c r="H1862" s="466">
        <v>0.6</v>
      </c>
      <c r="I1862" s="467">
        <v>0.6</v>
      </c>
      <c r="J1862" s="468">
        <v>0</v>
      </c>
    </row>
    <row r="1863" spans="1:10" ht="12.75" outlineLevel="2">
      <c r="A1863" s="645">
        <v>2142128003</v>
      </c>
      <c r="B1863" s="635" t="s">
        <v>172</v>
      </c>
      <c r="C1863" s="635" t="s">
        <v>1777</v>
      </c>
      <c r="D1863" s="635"/>
      <c r="E1863" s="635" t="s">
        <v>1494</v>
      </c>
      <c r="F1863" s="465" t="s">
        <v>1845</v>
      </c>
      <c r="G1863" s="466">
        <v>0.2</v>
      </c>
      <c r="H1863" s="466">
        <v>0.2</v>
      </c>
      <c r="I1863" s="467">
        <v>0.194</v>
      </c>
      <c r="J1863" s="468">
        <v>0.006</v>
      </c>
    </row>
    <row r="1864" spans="1:10" ht="12.75" outlineLevel="2">
      <c r="A1864" s="645">
        <v>2142128004</v>
      </c>
      <c r="B1864" s="635" t="s">
        <v>173</v>
      </c>
      <c r="C1864" s="635" t="s">
        <v>1777</v>
      </c>
      <c r="D1864" s="635"/>
      <c r="E1864" s="635" t="s">
        <v>1494</v>
      </c>
      <c r="F1864" s="465" t="s">
        <v>1845</v>
      </c>
      <c r="G1864" s="466">
        <v>1.2</v>
      </c>
      <c r="H1864" s="466">
        <v>1.2</v>
      </c>
      <c r="I1864" s="467">
        <v>1.2</v>
      </c>
      <c r="J1864" s="468">
        <v>0</v>
      </c>
    </row>
    <row r="1865" spans="1:10" ht="12.75" outlineLevel="2">
      <c r="A1865" s="645">
        <v>2142128005</v>
      </c>
      <c r="B1865" s="635" t="s">
        <v>174</v>
      </c>
      <c r="C1865" s="635" t="s">
        <v>1777</v>
      </c>
      <c r="D1865" s="635"/>
      <c r="E1865" s="635" t="s">
        <v>1494</v>
      </c>
      <c r="F1865" s="465" t="s">
        <v>1845</v>
      </c>
      <c r="G1865" s="466">
        <v>1</v>
      </c>
      <c r="H1865" s="466">
        <v>1</v>
      </c>
      <c r="I1865" s="467">
        <v>1</v>
      </c>
      <c r="J1865" s="468">
        <v>0</v>
      </c>
    </row>
    <row r="1866" spans="1:10" ht="12.75" outlineLevel="2">
      <c r="A1866" s="645">
        <v>2142128006</v>
      </c>
      <c r="B1866" s="635" t="s">
        <v>175</v>
      </c>
      <c r="C1866" s="635" t="s">
        <v>1777</v>
      </c>
      <c r="D1866" s="635"/>
      <c r="E1866" s="635" t="s">
        <v>1494</v>
      </c>
      <c r="F1866" s="465" t="s">
        <v>1845</v>
      </c>
      <c r="G1866" s="466">
        <v>0.8</v>
      </c>
      <c r="H1866" s="466">
        <v>0.8</v>
      </c>
      <c r="I1866" s="467">
        <v>0.8</v>
      </c>
      <c r="J1866" s="468">
        <v>0</v>
      </c>
    </row>
    <row r="1867" spans="1:10" ht="12.75" outlineLevel="2">
      <c r="A1867" s="645">
        <v>2142128007</v>
      </c>
      <c r="B1867" s="635" t="s">
        <v>176</v>
      </c>
      <c r="C1867" s="635" t="s">
        <v>1777</v>
      </c>
      <c r="D1867" s="635"/>
      <c r="E1867" s="635" t="s">
        <v>1494</v>
      </c>
      <c r="F1867" s="465" t="s">
        <v>1845</v>
      </c>
      <c r="G1867" s="466">
        <v>2.5</v>
      </c>
      <c r="H1867" s="466">
        <v>2.5</v>
      </c>
      <c r="I1867" s="467">
        <v>2.498</v>
      </c>
      <c r="J1867" s="468">
        <v>0.002</v>
      </c>
    </row>
    <row r="1868" spans="1:10" ht="12.75" outlineLevel="2">
      <c r="A1868" s="645">
        <v>2142128008</v>
      </c>
      <c r="B1868" s="635" t="s">
        <v>1851</v>
      </c>
      <c r="C1868" s="635" t="s">
        <v>1777</v>
      </c>
      <c r="D1868" s="635"/>
      <c r="E1868" s="635" t="s">
        <v>1494</v>
      </c>
      <c r="F1868" s="465" t="s">
        <v>1845</v>
      </c>
      <c r="G1868" s="466">
        <v>2.5</v>
      </c>
      <c r="H1868" s="466">
        <v>0.325</v>
      </c>
      <c r="I1868" s="467">
        <v>0.324</v>
      </c>
      <c r="J1868" s="468">
        <v>0.001</v>
      </c>
    </row>
    <row r="1869" spans="1:10" ht="12.75" outlineLevel="2">
      <c r="A1869" s="645">
        <v>2142128009</v>
      </c>
      <c r="B1869" s="635" t="s">
        <v>177</v>
      </c>
      <c r="C1869" s="635" t="s">
        <v>1777</v>
      </c>
      <c r="D1869" s="635"/>
      <c r="E1869" s="635" t="s">
        <v>1494</v>
      </c>
      <c r="F1869" s="465" t="s">
        <v>1845</v>
      </c>
      <c r="G1869" s="466">
        <v>10.7</v>
      </c>
      <c r="H1869" s="466">
        <v>17.305</v>
      </c>
      <c r="I1869" s="467">
        <v>17.305</v>
      </c>
      <c r="J1869" s="468">
        <v>0</v>
      </c>
    </row>
    <row r="1870" spans="1:10" ht="12.75" outlineLevel="2">
      <c r="A1870" s="645">
        <v>2142128010</v>
      </c>
      <c r="B1870" s="635" t="s">
        <v>178</v>
      </c>
      <c r="C1870" s="635" t="s">
        <v>1792</v>
      </c>
      <c r="D1870" s="635"/>
      <c r="E1870" s="635" t="s">
        <v>1533</v>
      </c>
      <c r="F1870" s="465" t="s">
        <v>96</v>
      </c>
      <c r="G1870" s="466">
        <v>2.5</v>
      </c>
      <c r="H1870" s="466">
        <v>0</v>
      </c>
      <c r="I1870" s="467">
        <v>0</v>
      </c>
      <c r="J1870" s="468">
        <v>0</v>
      </c>
    </row>
    <row r="1871" spans="1:10" ht="12.75" outlineLevel="2">
      <c r="A1871" s="645">
        <v>2142128011</v>
      </c>
      <c r="B1871" s="635" t="s">
        <v>179</v>
      </c>
      <c r="C1871" s="635" t="s">
        <v>1777</v>
      </c>
      <c r="D1871" s="635"/>
      <c r="E1871" s="635" t="s">
        <v>1533</v>
      </c>
      <c r="F1871" s="465" t="s">
        <v>96</v>
      </c>
      <c r="G1871" s="466">
        <v>20</v>
      </c>
      <c r="H1871" s="466">
        <v>0</v>
      </c>
      <c r="I1871" s="467">
        <v>0</v>
      </c>
      <c r="J1871" s="468">
        <v>0</v>
      </c>
    </row>
    <row r="1872" spans="1:10" ht="12.75" outlineLevel="2">
      <c r="A1872" s="645">
        <v>2142128012</v>
      </c>
      <c r="B1872" s="635" t="s">
        <v>180</v>
      </c>
      <c r="C1872" s="635" t="s">
        <v>1792</v>
      </c>
      <c r="D1872" s="635"/>
      <c r="E1872" s="635" t="s">
        <v>1494</v>
      </c>
      <c r="F1872" s="465" t="s">
        <v>96</v>
      </c>
      <c r="G1872" s="466">
        <v>10</v>
      </c>
      <c r="H1872" s="466">
        <v>2.018</v>
      </c>
      <c r="I1872" s="467">
        <v>2.017</v>
      </c>
      <c r="J1872" s="468">
        <v>0.001</v>
      </c>
    </row>
    <row r="1873" spans="1:10" ht="12.75" outlineLevel="2">
      <c r="A1873" s="645">
        <v>2142128013</v>
      </c>
      <c r="B1873" s="635" t="s">
        <v>181</v>
      </c>
      <c r="C1873" s="635" t="s">
        <v>1790</v>
      </c>
      <c r="D1873" s="635"/>
      <c r="E1873" s="635" t="s">
        <v>1494</v>
      </c>
      <c r="F1873" s="465" t="s">
        <v>96</v>
      </c>
      <c r="G1873" s="466">
        <v>5</v>
      </c>
      <c r="H1873" s="466">
        <v>0</v>
      </c>
      <c r="I1873" s="467">
        <v>0</v>
      </c>
      <c r="J1873" s="468">
        <v>0</v>
      </c>
    </row>
    <row r="1874" spans="1:10" ht="12.75" outlineLevel="2">
      <c r="A1874" s="645">
        <v>2142128013</v>
      </c>
      <c r="B1874" s="635" t="s">
        <v>181</v>
      </c>
      <c r="C1874" s="635" t="s">
        <v>1790</v>
      </c>
      <c r="D1874" s="635"/>
      <c r="E1874" s="635" t="s">
        <v>1494</v>
      </c>
      <c r="F1874" s="465" t="s">
        <v>333</v>
      </c>
      <c r="G1874" s="466">
        <v>0</v>
      </c>
      <c r="H1874" s="466">
        <v>0</v>
      </c>
      <c r="I1874" s="467">
        <v>1.162</v>
      </c>
      <c r="J1874" s="468">
        <v>0</v>
      </c>
    </row>
    <row r="1875" spans="1:10" ht="12.75" outlineLevel="2">
      <c r="A1875" s="645">
        <v>2142128014</v>
      </c>
      <c r="B1875" s="635" t="s">
        <v>182</v>
      </c>
      <c r="C1875" s="635" t="s">
        <v>1798</v>
      </c>
      <c r="D1875" s="635"/>
      <c r="E1875" s="635" t="s">
        <v>1494</v>
      </c>
      <c r="F1875" s="465" t="s">
        <v>96</v>
      </c>
      <c r="G1875" s="466">
        <v>3</v>
      </c>
      <c r="H1875" s="466">
        <v>2.25</v>
      </c>
      <c r="I1875" s="467">
        <v>2.249</v>
      </c>
      <c r="J1875" s="468">
        <v>0.001</v>
      </c>
    </row>
    <row r="1876" spans="1:10" ht="12.75" outlineLevel="2">
      <c r="A1876" s="645">
        <v>2142128015</v>
      </c>
      <c r="B1876" s="635" t="s">
        <v>183</v>
      </c>
      <c r="C1876" s="635" t="s">
        <v>1796</v>
      </c>
      <c r="D1876" s="635"/>
      <c r="E1876" s="635" t="s">
        <v>1533</v>
      </c>
      <c r="F1876" s="465" t="s">
        <v>96</v>
      </c>
      <c r="G1876" s="466">
        <v>1.7</v>
      </c>
      <c r="H1876" s="466">
        <v>0</v>
      </c>
      <c r="I1876" s="467">
        <v>0</v>
      </c>
      <c r="J1876" s="468">
        <v>0</v>
      </c>
    </row>
    <row r="1877" spans="1:10" ht="12.75" outlineLevel="2">
      <c r="A1877" s="645">
        <v>2142128016</v>
      </c>
      <c r="B1877" s="635" t="s">
        <v>184</v>
      </c>
      <c r="C1877" s="635" t="s">
        <v>1790</v>
      </c>
      <c r="D1877" s="635"/>
      <c r="E1877" s="635" t="s">
        <v>1533</v>
      </c>
      <c r="F1877" s="465" t="s">
        <v>96</v>
      </c>
      <c r="G1877" s="466">
        <v>1.8</v>
      </c>
      <c r="H1877" s="466">
        <v>0</v>
      </c>
      <c r="I1877" s="467">
        <v>0</v>
      </c>
      <c r="J1877" s="468">
        <v>0</v>
      </c>
    </row>
    <row r="1878" spans="1:10" ht="12.75" outlineLevel="2">
      <c r="A1878" s="645">
        <v>2142128017</v>
      </c>
      <c r="B1878" s="635" t="s">
        <v>185</v>
      </c>
      <c r="C1878" s="635" t="s">
        <v>1806</v>
      </c>
      <c r="D1878" s="635"/>
      <c r="E1878" s="635" t="s">
        <v>1494</v>
      </c>
      <c r="F1878" s="465" t="s">
        <v>96</v>
      </c>
      <c r="G1878" s="466">
        <v>1.1</v>
      </c>
      <c r="H1878" s="466">
        <v>0.682</v>
      </c>
      <c r="I1878" s="467">
        <v>0.682</v>
      </c>
      <c r="J1878" s="468">
        <v>0</v>
      </c>
    </row>
    <row r="1879" spans="1:10" ht="12.75" outlineLevel="2">
      <c r="A1879" s="645">
        <v>2142128018</v>
      </c>
      <c r="B1879" s="635" t="s">
        <v>186</v>
      </c>
      <c r="C1879" s="635" t="s">
        <v>1784</v>
      </c>
      <c r="D1879" s="635"/>
      <c r="E1879" s="635" t="s">
        <v>1533</v>
      </c>
      <c r="F1879" s="465" t="s">
        <v>96</v>
      </c>
      <c r="G1879" s="466">
        <v>2</v>
      </c>
      <c r="H1879" s="466">
        <v>0</v>
      </c>
      <c r="I1879" s="467">
        <v>0</v>
      </c>
      <c r="J1879" s="468">
        <v>0</v>
      </c>
    </row>
    <row r="1880" spans="1:10" ht="12.75" outlineLevel="2">
      <c r="A1880" s="645">
        <v>2142128019</v>
      </c>
      <c r="B1880" s="635" t="s">
        <v>187</v>
      </c>
      <c r="C1880" s="635" t="s">
        <v>1796</v>
      </c>
      <c r="D1880" s="635"/>
      <c r="E1880" s="635" t="s">
        <v>1533</v>
      </c>
      <c r="F1880" s="465" t="s">
        <v>96</v>
      </c>
      <c r="G1880" s="466">
        <v>0.9</v>
      </c>
      <c r="H1880" s="466">
        <v>0</v>
      </c>
      <c r="I1880" s="467">
        <v>0</v>
      </c>
      <c r="J1880" s="468">
        <v>0</v>
      </c>
    </row>
    <row r="1881" spans="1:10" ht="12.75" outlineLevel="2">
      <c r="A1881" s="645">
        <v>2142128020</v>
      </c>
      <c r="B1881" s="635" t="s">
        <v>188</v>
      </c>
      <c r="C1881" s="635" t="s">
        <v>1788</v>
      </c>
      <c r="D1881" s="635"/>
      <c r="E1881" s="635" t="s">
        <v>1533</v>
      </c>
      <c r="F1881" s="465" t="s">
        <v>96</v>
      </c>
      <c r="G1881" s="466">
        <v>1.2</v>
      </c>
      <c r="H1881" s="466">
        <v>0</v>
      </c>
      <c r="I1881" s="467">
        <v>0</v>
      </c>
      <c r="J1881" s="468">
        <v>0</v>
      </c>
    </row>
    <row r="1882" spans="1:10" ht="12.75" outlineLevel="2">
      <c r="A1882" s="645">
        <v>2142128021</v>
      </c>
      <c r="B1882" s="635" t="s">
        <v>189</v>
      </c>
      <c r="C1882" s="635" t="s">
        <v>1802</v>
      </c>
      <c r="D1882" s="635"/>
      <c r="E1882" s="635" t="s">
        <v>1533</v>
      </c>
      <c r="F1882" s="465" t="s">
        <v>96</v>
      </c>
      <c r="G1882" s="466">
        <v>1.5</v>
      </c>
      <c r="H1882" s="466">
        <v>0</v>
      </c>
      <c r="I1882" s="467">
        <v>0</v>
      </c>
      <c r="J1882" s="468">
        <v>0</v>
      </c>
    </row>
    <row r="1883" spans="1:10" ht="12.75" outlineLevel="2">
      <c r="A1883" s="645">
        <v>2142128022</v>
      </c>
      <c r="B1883" s="635" t="s">
        <v>190</v>
      </c>
      <c r="C1883" s="635" t="s">
        <v>1804</v>
      </c>
      <c r="D1883" s="635"/>
      <c r="E1883" s="635" t="s">
        <v>1494</v>
      </c>
      <c r="F1883" s="465" t="s">
        <v>96</v>
      </c>
      <c r="G1883" s="466">
        <v>17.8</v>
      </c>
      <c r="H1883" s="466">
        <v>0.471</v>
      </c>
      <c r="I1883" s="467">
        <v>0.47</v>
      </c>
      <c r="J1883" s="468">
        <v>0.001</v>
      </c>
    </row>
    <row r="1884" spans="1:10" ht="12.75" outlineLevel="2">
      <c r="A1884" s="645">
        <v>2142128023</v>
      </c>
      <c r="B1884" s="635" t="s">
        <v>191</v>
      </c>
      <c r="C1884" s="635" t="s">
        <v>1786</v>
      </c>
      <c r="D1884" s="635"/>
      <c r="E1884" s="635" t="s">
        <v>1494</v>
      </c>
      <c r="F1884" s="465" t="s">
        <v>96</v>
      </c>
      <c r="G1884" s="466">
        <v>4.5</v>
      </c>
      <c r="H1884" s="466">
        <v>4.95</v>
      </c>
      <c r="I1884" s="467">
        <v>4.95</v>
      </c>
      <c r="J1884" s="468">
        <v>0</v>
      </c>
    </row>
    <row r="1885" spans="1:10" ht="12.75" outlineLevel="2">
      <c r="A1885" s="645">
        <v>2142128024</v>
      </c>
      <c r="B1885" s="635" t="s">
        <v>192</v>
      </c>
      <c r="C1885" s="635" t="s">
        <v>1788</v>
      </c>
      <c r="D1885" s="635"/>
      <c r="E1885" s="635" t="s">
        <v>1494</v>
      </c>
      <c r="F1885" s="465" t="s">
        <v>96</v>
      </c>
      <c r="G1885" s="466">
        <v>3</v>
      </c>
      <c r="H1885" s="466">
        <v>3.482</v>
      </c>
      <c r="I1885" s="467">
        <v>3.482</v>
      </c>
      <c r="J1885" s="468">
        <v>0</v>
      </c>
    </row>
    <row r="1886" spans="1:10" ht="12.75" outlineLevel="2">
      <c r="A1886" s="645">
        <v>2142128025</v>
      </c>
      <c r="B1886" s="635" t="s">
        <v>193</v>
      </c>
      <c r="C1886" s="635" t="s">
        <v>1806</v>
      </c>
      <c r="D1886" s="635"/>
      <c r="E1886" s="635" t="s">
        <v>1533</v>
      </c>
      <c r="F1886" s="465" t="s">
        <v>96</v>
      </c>
      <c r="G1886" s="466">
        <v>10.1</v>
      </c>
      <c r="H1886" s="466">
        <v>0</v>
      </c>
      <c r="I1886" s="467">
        <v>0</v>
      </c>
      <c r="J1886" s="468">
        <v>0</v>
      </c>
    </row>
    <row r="1887" spans="1:10" ht="12.75" outlineLevel="2">
      <c r="A1887" s="645">
        <v>2142128026</v>
      </c>
      <c r="B1887" s="635" t="s">
        <v>194</v>
      </c>
      <c r="C1887" s="635" t="s">
        <v>1777</v>
      </c>
      <c r="D1887" s="635"/>
      <c r="E1887" s="635" t="s">
        <v>1494</v>
      </c>
      <c r="F1887" s="465" t="s">
        <v>96</v>
      </c>
      <c r="G1887" s="466">
        <v>1.7</v>
      </c>
      <c r="H1887" s="466">
        <v>2.187</v>
      </c>
      <c r="I1887" s="467">
        <v>2.187</v>
      </c>
      <c r="J1887" s="468">
        <v>0</v>
      </c>
    </row>
    <row r="1888" spans="1:10" ht="12.75" outlineLevel="2">
      <c r="A1888" s="645">
        <v>2142128027</v>
      </c>
      <c r="B1888" s="635" t="s">
        <v>195</v>
      </c>
      <c r="C1888" s="635" t="s">
        <v>1796</v>
      </c>
      <c r="D1888" s="635"/>
      <c r="E1888" s="635" t="s">
        <v>1533</v>
      </c>
      <c r="F1888" s="465" t="s">
        <v>96</v>
      </c>
      <c r="G1888" s="466">
        <v>3</v>
      </c>
      <c r="H1888" s="466">
        <v>0</v>
      </c>
      <c r="I1888" s="467">
        <v>0</v>
      </c>
      <c r="J1888" s="468">
        <v>0</v>
      </c>
    </row>
    <row r="1889" spans="1:10" ht="12.75" outlineLevel="2">
      <c r="A1889" s="645">
        <v>2142128028</v>
      </c>
      <c r="B1889" s="635" t="s">
        <v>196</v>
      </c>
      <c r="C1889" s="635" t="s">
        <v>1800</v>
      </c>
      <c r="D1889" s="635"/>
      <c r="E1889" s="635" t="s">
        <v>1494</v>
      </c>
      <c r="F1889" s="465" t="s">
        <v>96</v>
      </c>
      <c r="G1889" s="466">
        <v>2.2</v>
      </c>
      <c r="H1889" s="466">
        <v>2.555</v>
      </c>
      <c r="I1889" s="467">
        <v>2.555</v>
      </c>
      <c r="J1889" s="468">
        <v>0</v>
      </c>
    </row>
    <row r="1890" spans="1:10" ht="12.75" outlineLevel="2">
      <c r="A1890" s="645">
        <v>2142128029</v>
      </c>
      <c r="B1890" s="635" t="s">
        <v>197</v>
      </c>
      <c r="C1890" s="635" t="s">
        <v>1800</v>
      </c>
      <c r="D1890" s="635"/>
      <c r="E1890" s="635" t="s">
        <v>1494</v>
      </c>
      <c r="F1890" s="465" t="s">
        <v>96</v>
      </c>
      <c r="G1890" s="466">
        <v>1.2</v>
      </c>
      <c r="H1890" s="466">
        <v>1.047</v>
      </c>
      <c r="I1890" s="467">
        <v>1.047</v>
      </c>
      <c r="J1890" s="468">
        <v>0</v>
      </c>
    </row>
    <row r="1891" spans="1:10" ht="12.75" outlineLevel="2">
      <c r="A1891" s="645">
        <v>2142128030</v>
      </c>
      <c r="B1891" s="635" t="s">
        <v>198</v>
      </c>
      <c r="C1891" s="635" t="s">
        <v>1798</v>
      </c>
      <c r="D1891" s="635"/>
      <c r="E1891" s="635" t="s">
        <v>1494</v>
      </c>
      <c r="F1891" s="465" t="s">
        <v>96</v>
      </c>
      <c r="G1891" s="466">
        <v>2</v>
      </c>
      <c r="H1891" s="466">
        <v>1.999</v>
      </c>
      <c r="I1891" s="467">
        <v>1.998</v>
      </c>
      <c r="J1891" s="468">
        <v>0.001</v>
      </c>
    </row>
    <row r="1892" spans="1:10" ht="12.75" outlineLevel="2">
      <c r="A1892" s="645">
        <v>2142128031</v>
      </c>
      <c r="B1892" s="635" t="s">
        <v>199</v>
      </c>
      <c r="C1892" s="635" t="s">
        <v>1792</v>
      </c>
      <c r="D1892" s="635"/>
      <c r="E1892" s="635" t="s">
        <v>1533</v>
      </c>
      <c r="F1892" s="465" t="s">
        <v>96</v>
      </c>
      <c r="G1892" s="466">
        <v>2</v>
      </c>
      <c r="H1892" s="466">
        <v>0</v>
      </c>
      <c r="I1892" s="467">
        <v>0</v>
      </c>
      <c r="J1892" s="468">
        <v>0</v>
      </c>
    </row>
    <row r="1893" spans="1:10" ht="12.75" outlineLevel="2">
      <c r="A1893" s="645">
        <v>2142128032</v>
      </c>
      <c r="B1893" s="635" t="s">
        <v>1851</v>
      </c>
      <c r="C1893" s="635" t="s">
        <v>1541</v>
      </c>
      <c r="D1893" s="635"/>
      <c r="E1893" s="635" t="s">
        <v>1494</v>
      </c>
      <c r="F1893" s="465" t="s">
        <v>1845</v>
      </c>
      <c r="G1893" s="466">
        <v>0.55</v>
      </c>
      <c r="H1893" s="466">
        <v>0.65</v>
      </c>
      <c r="I1893" s="467">
        <v>0.649</v>
      </c>
      <c r="J1893" s="468">
        <v>0.001</v>
      </c>
    </row>
    <row r="1894" spans="1:10" ht="12.75" outlineLevel="2">
      <c r="A1894" s="645">
        <v>2142128033</v>
      </c>
      <c r="B1894" s="635" t="s">
        <v>1851</v>
      </c>
      <c r="C1894" s="635" t="s">
        <v>1780</v>
      </c>
      <c r="D1894" s="635"/>
      <c r="E1894" s="635" t="s">
        <v>1494</v>
      </c>
      <c r="F1894" s="465" t="s">
        <v>1845</v>
      </c>
      <c r="G1894" s="466">
        <v>11.75</v>
      </c>
      <c r="H1894" s="466">
        <v>11.75</v>
      </c>
      <c r="I1894" s="467">
        <v>11.75</v>
      </c>
      <c r="J1894" s="468">
        <v>0</v>
      </c>
    </row>
    <row r="1895" spans="1:10" ht="12.75" outlineLevel="2">
      <c r="A1895" s="645">
        <v>2142128034</v>
      </c>
      <c r="B1895" s="635" t="s">
        <v>1851</v>
      </c>
      <c r="C1895" s="635" t="s">
        <v>1802</v>
      </c>
      <c r="D1895" s="635"/>
      <c r="E1895" s="635" t="s">
        <v>1494</v>
      </c>
      <c r="F1895" s="465" t="s">
        <v>1845</v>
      </c>
      <c r="G1895" s="466">
        <v>6.27</v>
      </c>
      <c r="H1895" s="466">
        <v>6.315</v>
      </c>
      <c r="I1895" s="467">
        <v>6.315</v>
      </c>
      <c r="J1895" s="468">
        <v>0</v>
      </c>
    </row>
    <row r="1896" spans="1:10" ht="12.75" outlineLevel="2">
      <c r="A1896" s="645">
        <v>2142128035</v>
      </c>
      <c r="B1896" s="635" t="s">
        <v>1851</v>
      </c>
      <c r="C1896" s="635" t="s">
        <v>1782</v>
      </c>
      <c r="D1896" s="635"/>
      <c r="E1896" s="635" t="s">
        <v>1494</v>
      </c>
      <c r="F1896" s="465" t="s">
        <v>1845</v>
      </c>
      <c r="G1896" s="466">
        <v>6.4</v>
      </c>
      <c r="H1896" s="466">
        <v>6.4</v>
      </c>
      <c r="I1896" s="467">
        <v>6.4</v>
      </c>
      <c r="J1896" s="468">
        <v>0</v>
      </c>
    </row>
    <row r="1897" spans="1:10" ht="12.75" outlineLevel="2">
      <c r="A1897" s="645">
        <v>2142128036</v>
      </c>
      <c r="B1897" s="635" t="s">
        <v>1851</v>
      </c>
      <c r="C1897" s="635" t="s">
        <v>1800</v>
      </c>
      <c r="D1897" s="635"/>
      <c r="E1897" s="635" t="s">
        <v>1494</v>
      </c>
      <c r="F1897" s="465" t="s">
        <v>1845</v>
      </c>
      <c r="G1897" s="466">
        <v>3</v>
      </c>
      <c r="H1897" s="466">
        <v>3.303</v>
      </c>
      <c r="I1897" s="467">
        <v>3.303</v>
      </c>
      <c r="J1897" s="468">
        <v>0</v>
      </c>
    </row>
    <row r="1898" spans="1:10" ht="12.75" outlineLevel="2">
      <c r="A1898" s="645">
        <v>2142128037</v>
      </c>
      <c r="B1898" s="635" t="s">
        <v>1851</v>
      </c>
      <c r="C1898" s="635" t="s">
        <v>1786</v>
      </c>
      <c r="D1898" s="635"/>
      <c r="E1898" s="635" t="s">
        <v>1494</v>
      </c>
      <c r="F1898" s="465" t="s">
        <v>1845</v>
      </c>
      <c r="G1898" s="466">
        <v>1.44</v>
      </c>
      <c r="H1898" s="466">
        <v>2.01</v>
      </c>
      <c r="I1898" s="467">
        <v>2.01</v>
      </c>
      <c r="J1898" s="468">
        <v>0</v>
      </c>
    </row>
    <row r="1899" spans="1:10" ht="12.75" outlineLevel="2">
      <c r="A1899" s="645">
        <v>2142128038</v>
      </c>
      <c r="B1899" s="635" t="s">
        <v>200</v>
      </c>
      <c r="C1899" s="635" t="s">
        <v>1804</v>
      </c>
      <c r="D1899" s="635"/>
      <c r="E1899" s="635" t="s">
        <v>1494</v>
      </c>
      <c r="F1899" s="465" t="s">
        <v>96</v>
      </c>
      <c r="G1899" s="466">
        <v>6</v>
      </c>
      <c r="H1899" s="466">
        <v>1.908</v>
      </c>
      <c r="I1899" s="467">
        <v>1.908</v>
      </c>
      <c r="J1899" s="468">
        <v>0</v>
      </c>
    </row>
    <row r="1900" spans="1:10" ht="12.75" outlineLevel="2">
      <c r="A1900" s="645">
        <v>2142128039</v>
      </c>
      <c r="B1900" s="635" t="s">
        <v>1851</v>
      </c>
      <c r="C1900" s="635" t="s">
        <v>1804</v>
      </c>
      <c r="D1900" s="635"/>
      <c r="E1900" s="635" t="s">
        <v>1494</v>
      </c>
      <c r="F1900" s="465" t="s">
        <v>1845</v>
      </c>
      <c r="G1900" s="466">
        <v>3.8</v>
      </c>
      <c r="H1900" s="466">
        <v>3.8</v>
      </c>
      <c r="I1900" s="467">
        <v>3.799</v>
      </c>
      <c r="J1900" s="468">
        <v>0.001</v>
      </c>
    </row>
    <row r="1901" spans="1:10" ht="12.75" outlineLevel="2">
      <c r="A1901" s="645">
        <v>2142128040</v>
      </c>
      <c r="B1901" s="635" t="s">
        <v>1851</v>
      </c>
      <c r="C1901" s="635" t="s">
        <v>1792</v>
      </c>
      <c r="D1901" s="635"/>
      <c r="E1901" s="635" t="s">
        <v>1494</v>
      </c>
      <c r="F1901" s="465" t="s">
        <v>1845</v>
      </c>
      <c r="G1901" s="466">
        <v>4.49</v>
      </c>
      <c r="H1901" s="466">
        <v>3.41</v>
      </c>
      <c r="I1901" s="467">
        <v>3.41</v>
      </c>
      <c r="J1901" s="468">
        <v>0</v>
      </c>
    </row>
    <row r="1902" spans="1:10" ht="12.75" outlineLevel="2">
      <c r="A1902" s="645">
        <v>2142128041</v>
      </c>
      <c r="B1902" s="635" t="s">
        <v>1851</v>
      </c>
      <c r="C1902" s="635" t="s">
        <v>1790</v>
      </c>
      <c r="D1902" s="635"/>
      <c r="E1902" s="635" t="s">
        <v>1494</v>
      </c>
      <c r="F1902" s="465" t="s">
        <v>1845</v>
      </c>
      <c r="G1902" s="466">
        <v>2</v>
      </c>
      <c r="H1902" s="466">
        <v>1.233</v>
      </c>
      <c r="I1902" s="467">
        <v>1.229</v>
      </c>
      <c r="J1902" s="468">
        <v>0.004</v>
      </c>
    </row>
    <row r="1903" spans="1:10" ht="12.75" outlineLevel="2">
      <c r="A1903" s="645">
        <v>2142128042</v>
      </c>
      <c r="B1903" s="635" t="s">
        <v>1851</v>
      </c>
      <c r="C1903" s="635" t="s">
        <v>1798</v>
      </c>
      <c r="D1903" s="635"/>
      <c r="E1903" s="635" t="s">
        <v>1494</v>
      </c>
      <c r="F1903" s="465" t="s">
        <v>1845</v>
      </c>
      <c r="G1903" s="466">
        <v>1.323</v>
      </c>
      <c r="H1903" s="466">
        <v>1.323</v>
      </c>
      <c r="I1903" s="467">
        <v>1.323</v>
      </c>
      <c r="J1903" s="468">
        <v>0</v>
      </c>
    </row>
    <row r="1904" spans="1:10" ht="12.75" outlineLevel="2">
      <c r="A1904" s="645">
        <v>2142128043</v>
      </c>
      <c r="B1904" s="635" t="s">
        <v>1851</v>
      </c>
      <c r="C1904" s="635" t="s">
        <v>1788</v>
      </c>
      <c r="D1904" s="635"/>
      <c r="E1904" s="635" t="s">
        <v>1494</v>
      </c>
      <c r="F1904" s="465" t="s">
        <v>1845</v>
      </c>
      <c r="G1904" s="466">
        <v>1.696</v>
      </c>
      <c r="H1904" s="466">
        <v>1.696</v>
      </c>
      <c r="I1904" s="467">
        <v>1.696</v>
      </c>
      <c r="J1904" s="468">
        <v>0</v>
      </c>
    </row>
    <row r="1905" spans="1:10" ht="12.75" outlineLevel="2">
      <c r="A1905" s="645">
        <v>2142128044</v>
      </c>
      <c r="B1905" s="635" t="s">
        <v>1851</v>
      </c>
      <c r="C1905" s="635" t="s">
        <v>1784</v>
      </c>
      <c r="D1905" s="635"/>
      <c r="E1905" s="635" t="s">
        <v>1494</v>
      </c>
      <c r="F1905" s="465" t="s">
        <v>1845</v>
      </c>
      <c r="G1905" s="466">
        <v>2.6</v>
      </c>
      <c r="H1905" s="466">
        <v>4.577</v>
      </c>
      <c r="I1905" s="467">
        <v>4.577</v>
      </c>
      <c r="J1905" s="468">
        <v>0</v>
      </c>
    </row>
    <row r="1906" spans="1:10" ht="12.75" outlineLevel="2">
      <c r="A1906" s="645">
        <v>2142128045</v>
      </c>
      <c r="B1906" s="635" t="s">
        <v>1851</v>
      </c>
      <c r="C1906" s="635" t="s">
        <v>1796</v>
      </c>
      <c r="D1906" s="635"/>
      <c r="E1906" s="635" t="s">
        <v>1494</v>
      </c>
      <c r="F1906" s="465" t="s">
        <v>1845</v>
      </c>
      <c r="G1906" s="466">
        <v>2.5</v>
      </c>
      <c r="H1906" s="466">
        <v>2.729</v>
      </c>
      <c r="I1906" s="467">
        <v>2.729</v>
      </c>
      <c r="J1906" s="468">
        <v>0</v>
      </c>
    </row>
    <row r="1907" spans="1:10" ht="12.75" outlineLevel="2">
      <c r="A1907" s="645">
        <v>2142128046</v>
      </c>
      <c r="B1907" s="635" t="s">
        <v>1851</v>
      </c>
      <c r="C1907" s="635" t="s">
        <v>1794</v>
      </c>
      <c r="D1907" s="635"/>
      <c r="E1907" s="635" t="s">
        <v>1494</v>
      </c>
      <c r="F1907" s="465" t="s">
        <v>1845</v>
      </c>
      <c r="G1907" s="466">
        <v>2.15</v>
      </c>
      <c r="H1907" s="466">
        <v>2.15</v>
      </c>
      <c r="I1907" s="467">
        <v>2.148</v>
      </c>
      <c r="J1907" s="468">
        <v>0.002</v>
      </c>
    </row>
    <row r="1908" spans="1:10" ht="12.75" outlineLevel="2">
      <c r="A1908" s="645">
        <v>2142128047</v>
      </c>
      <c r="B1908" s="635" t="s">
        <v>1851</v>
      </c>
      <c r="C1908" s="635" t="s">
        <v>1806</v>
      </c>
      <c r="D1908" s="635"/>
      <c r="E1908" s="635" t="s">
        <v>1494</v>
      </c>
      <c r="F1908" s="465" t="s">
        <v>1845</v>
      </c>
      <c r="G1908" s="466">
        <v>3.05</v>
      </c>
      <c r="H1908" s="466">
        <v>1.817</v>
      </c>
      <c r="I1908" s="467">
        <v>1.817</v>
      </c>
      <c r="J1908" s="468">
        <v>0</v>
      </c>
    </row>
    <row r="1909" spans="1:10" ht="12.75" outlineLevel="2">
      <c r="A1909" s="645">
        <v>2142128049</v>
      </c>
      <c r="B1909" s="635" t="s">
        <v>201</v>
      </c>
      <c r="C1909" s="635" t="s">
        <v>1788</v>
      </c>
      <c r="D1909" s="635"/>
      <c r="E1909" s="635" t="s">
        <v>1494</v>
      </c>
      <c r="F1909" s="465" t="s">
        <v>96</v>
      </c>
      <c r="G1909" s="466">
        <v>2.5</v>
      </c>
      <c r="H1909" s="466">
        <v>1.051</v>
      </c>
      <c r="I1909" s="467">
        <v>1.051</v>
      </c>
      <c r="J1909" s="468">
        <v>0</v>
      </c>
    </row>
    <row r="1910" spans="1:10" ht="12.75" outlineLevel="2">
      <c r="A1910" s="645">
        <v>2142128050</v>
      </c>
      <c r="B1910" s="635" t="s">
        <v>202</v>
      </c>
      <c r="C1910" s="635" t="s">
        <v>1802</v>
      </c>
      <c r="D1910" s="635"/>
      <c r="E1910" s="635" t="s">
        <v>1533</v>
      </c>
      <c r="F1910" s="465" t="s">
        <v>96</v>
      </c>
      <c r="G1910" s="466">
        <v>8</v>
      </c>
      <c r="H1910" s="466">
        <v>0</v>
      </c>
      <c r="I1910" s="467">
        <v>0</v>
      </c>
      <c r="J1910" s="468">
        <v>0</v>
      </c>
    </row>
    <row r="1911" spans="1:10" ht="12.75" outlineLevel="2">
      <c r="A1911" s="645">
        <v>2142128051</v>
      </c>
      <c r="B1911" s="635" t="s">
        <v>203</v>
      </c>
      <c r="C1911" s="635" t="s">
        <v>1780</v>
      </c>
      <c r="D1911" s="635"/>
      <c r="E1911" s="635" t="s">
        <v>1533</v>
      </c>
      <c r="F1911" s="465" t="s">
        <v>96</v>
      </c>
      <c r="G1911" s="466">
        <v>12.5</v>
      </c>
      <c r="H1911" s="466">
        <v>0</v>
      </c>
      <c r="I1911" s="467">
        <v>0</v>
      </c>
      <c r="J1911" s="468">
        <v>0</v>
      </c>
    </row>
    <row r="1912" spans="1:10" ht="12.75" outlineLevel="2">
      <c r="A1912" s="645">
        <v>2142128053</v>
      </c>
      <c r="B1912" s="635" t="s">
        <v>204</v>
      </c>
      <c r="C1912" s="635" t="s">
        <v>1798</v>
      </c>
      <c r="D1912" s="635"/>
      <c r="E1912" s="635" t="s">
        <v>1494</v>
      </c>
      <c r="F1912" s="465" t="s">
        <v>96</v>
      </c>
      <c r="G1912" s="466">
        <v>2.5</v>
      </c>
      <c r="H1912" s="466">
        <v>3.549</v>
      </c>
      <c r="I1912" s="467">
        <v>3.548</v>
      </c>
      <c r="J1912" s="468">
        <v>0.001</v>
      </c>
    </row>
    <row r="1913" spans="1:10" ht="12.75" outlineLevel="2">
      <c r="A1913" s="645">
        <v>2142128054</v>
      </c>
      <c r="B1913" s="635" t="s">
        <v>205</v>
      </c>
      <c r="C1913" s="635" t="s">
        <v>1804</v>
      </c>
      <c r="D1913" s="635"/>
      <c r="E1913" s="635" t="s">
        <v>1533</v>
      </c>
      <c r="F1913" s="465" t="s">
        <v>96</v>
      </c>
      <c r="G1913" s="466">
        <v>4</v>
      </c>
      <c r="H1913" s="466">
        <v>0</v>
      </c>
      <c r="I1913" s="467">
        <v>0</v>
      </c>
      <c r="J1913" s="468">
        <v>0</v>
      </c>
    </row>
    <row r="1914" spans="1:10" ht="12.75" outlineLevel="2">
      <c r="A1914" s="645">
        <v>2142128055</v>
      </c>
      <c r="B1914" s="635" t="s">
        <v>206</v>
      </c>
      <c r="C1914" s="635" t="s">
        <v>1784</v>
      </c>
      <c r="D1914" s="635"/>
      <c r="E1914" s="635" t="s">
        <v>1533</v>
      </c>
      <c r="F1914" s="465" t="s">
        <v>96</v>
      </c>
      <c r="G1914" s="466">
        <v>2</v>
      </c>
      <c r="H1914" s="466">
        <v>0</v>
      </c>
      <c r="I1914" s="467">
        <v>0</v>
      </c>
      <c r="J1914" s="468">
        <v>0</v>
      </c>
    </row>
    <row r="1915" spans="1:10" ht="12.75" outlineLevel="2">
      <c r="A1915" s="645">
        <v>2142128056</v>
      </c>
      <c r="B1915" s="635" t="s">
        <v>207</v>
      </c>
      <c r="C1915" s="635" t="s">
        <v>1784</v>
      </c>
      <c r="D1915" s="635"/>
      <c r="E1915" s="635" t="s">
        <v>1533</v>
      </c>
      <c r="F1915" s="465" t="s">
        <v>96</v>
      </c>
      <c r="G1915" s="466">
        <v>1.2</v>
      </c>
      <c r="H1915" s="466">
        <v>0</v>
      </c>
      <c r="I1915" s="467">
        <v>0</v>
      </c>
      <c r="J1915" s="468">
        <v>0</v>
      </c>
    </row>
    <row r="1916" spans="1:10" ht="12.75" outlineLevel="2">
      <c r="A1916" s="645">
        <v>2142128057</v>
      </c>
      <c r="B1916" s="635" t="s">
        <v>208</v>
      </c>
      <c r="C1916" s="635" t="s">
        <v>1806</v>
      </c>
      <c r="D1916" s="635"/>
      <c r="E1916" s="635" t="s">
        <v>1533</v>
      </c>
      <c r="F1916" s="465" t="s">
        <v>96</v>
      </c>
      <c r="G1916" s="466">
        <v>1.7</v>
      </c>
      <c r="H1916" s="466">
        <v>0</v>
      </c>
      <c r="I1916" s="467">
        <v>0</v>
      </c>
      <c r="J1916" s="468">
        <v>0</v>
      </c>
    </row>
    <row r="1917" spans="1:10" ht="12.75" outlineLevel="2">
      <c r="A1917" s="645">
        <v>2142128058</v>
      </c>
      <c r="B1917" s="635" t="s">
        <v>209</v>
      </c>
      <c r="C1917" s="635" t="s">
        <v>1806</v>
      </c>
      <c r="D1917" s="635"/>
      <c r="E1917" s="635" t="s">
        <v>1533</v>
      </c>
      <c r="F1917" s="465" t="s">
        <v>96</v>
      </c>
      <c r="G1917" s="466">
        <v>1</v>
      </c>
      <c r="H1917" s="466">
        <v>0</v>
      </c>
      <c r="I1917" s="467">
        <v>0</v>
      </c>
      <c r="J1917" s="468">
        <v>0</v>
      </c>
    </row>
    <row r="1918" spans="1:10" ht="12.75" outlineLevel="2">
      <c r="A1918" s="645">
        <v>2142128060</v>
      </c>
      <c r="B1918" s="635" t="s">
        <v>210</v>
      </c>
      <c r="C1918" s="635" t="s">
        <v>1784</v>
      </c>
      <c r="D1918" s="635"/>
      <c r="E1918" s="635" t="s">
        <v>1533</v>
      </c>
      <c r="F1918" s="465" t="s">
        <v>96</v>
      </c>
      <c r="G1918" s="466">
        <v>1.2</v>
      </c>
      <c r="H1918" s="466">
        <v>0</v>
      </c>
      <c r="I1918" s="467">
        <v>0</v>
      </c>
      <c r="J1918" s="468">
        <v>0</v>
      </c>
    </row>
    <row r="1919" spans="1:10" ht="12.75" outlineLevel="2">
      <c r="A1919" s="645">
        <v>2142128061</v>
      </c>
      <c r="B1919" s="635" t="s">
        <v>211</v>
      </c>
      <c r="C1919" s="635" t="s">
        <v>1784</v>
      </c>
      <c r="D1919" s="635"/>
      <c r="E1919" s="635" t="s">
        <v>1533</v>
      </c>
      <c r="F1919" s="465" t="s">
        <v>96</v>
      </c>
      <c r="G1919" s="466">
        <v>1.2</v>
      </c>
      <c r="H1919" s="466">
        <v>0</v>
      </c>
      <c r="I1919" s="467">
        <v>0</v>
      </c>
      <c r="J1919" s="468">
        <v>0</v>
      </c>
    </row>
    <row r="1920" spans="1:10" ht="12.75" outlineLevel="2">
      <c r="A1920" s="645">
        <v>2142128062</v>
      </c>
      <c r="B1920" s="635" t="s">
        <v>212</v>
      </c>
      <c r="C1920" s="635" t="s">
        <v>1784</v>
      </c>
      <c r="D1920" s="635"/>
      <c r="E1920" s="635" t="s">
        <v>1533</v>
      </c>
      <c r="F1920" s="465" t="s">
        <v>96</v>
      </c>
      <c r="G1920" s="466">
        <v>1.2</v>
      </c>
      <c r="H1920" s="466">
        <v>0</v>
      </c>
      <c r="I1920" s="467">
        <v>0</v>
      </c>
      <c r="J1920" s="468">
        <v>0</v>
      </c>
    </row>
    <row r="1921" spans="1:10" ht="12.75" outlineLevel="2">
      <c r="A1921" s="645">
        <v>2142128063</v>
      </c>
      <c r="B1921" s="635" t="s">
        <v>213</v>
      </c>
      <c r="C1921" s="635" t="s">
        <v>1802</v>
      </c>
      <c r="D1921" s="635"/>
      <c r="E1921" s="635" t="s">
        <v>1533</v>
      </c>
      <c r="F1921" s="465" t="s">
        <v>96</v>
      </c>
      <c r="G1921" s="466">
        <v>0.8</v>
      </c>
      <c r="H1921" s="466">
        <v>0</v>
      </c>
      <c r="I1921" s="467">
        <v>0</v>
      </c>
      <c r="J1921" s="468">
        <v>0</v>
      </c>
    </row>
    <row r="1922" spans="1:10" ht="12.75" outlineLevel="2">
      <c r="A1922" s="645">
        <v>2142128064</v>
      </c>
      <c r="B1922" s="635" t="s">
        <v>214</v>
      </c>
      <c r="C1922" s="635" t="s">
        <v>1784</v>
      </c>
      <c r="D1922" s="635"/>
      <c r="E1922" s="635" t="s">
        <v>1533</v>
      </c>
      <c r="F1922" s="465" t="s">
        <v>96</v>
      </c>
      <c r="G1922" s="466">
        <v>0.8</v>
      </c>
      <c r="H1922" s="466">
        <v>0</v>
      </c>
      <c r="I1922" s="467">
        <v>0</v>
      </c>
      <c r="J1922" s="468">
        <v>0</v>
      </c>
    </row>
    <row r="1923" spans="1:10" ht="12.75" outlineLevel="2">
      <c r="A1923" s="645">
        <v>2142128065</v>
      </c>
      <c r="B1923" s="635" t="s">
        <v>215</v>
      </c>
      <c r="C1923" s="635" t="s">
        <v>1802</v>
      </c>
      <c r="D1923" s="635"/>
      <c r="E1923" s="635" t="s">
        <v>1533</v>
      </c>
      <c r="F1923" s="465" t="s">
        <v>96</v>
      </c>
      <c r="G1923" s="466">
        <v>3.2</v>
      </c>
      <c r="H1923" s="466">
        <v>0</v>
      </c>
      <c r="I1923" s="467">
        <v>0</v>
      </c>
      <c r="J1923" s="468">
        <v>0</v>
      </c>
    </row>
    <row r="1924" spans="1:10" ht="12.75" outlineLevel="2">
      <c r="A1924" s="645">
        <v>2142128066</v>
      </c>
      <c r="B1924" s="635" t="s">
        <v>216</v>
      </c>
      <c r="C1924" s="635" t="s">
        <v>1782</v>
      </c>
      <c r="D1924" s="635"/>
      <c r="E1924" s="635" t="s">
        <v>1494</v>
      </c>
      <c r="F1924" s="465" t="s">
        <v>96</v>
      </c>
      <c r="G1924" s="466">
        <v>8.2</v>
      </c>
      <c r="H1924" s="466">
        <v>8.142</v>
      </c>
      <c r="I1924" s="467">
        <v>8.141</v>
      </c>
      <c r="J1924" s="468">
        <v>0.001</v>
      </c>
    </row>
    <row r="1925" spans="1:10" ht="12.75" outlineLevel="2">
      <c r="A1925" s="645">
        <v>2142128067</v>
      </c>
      <c r="B1925" s="635" t="s">
        <v>217</v>
      </c>
      <c r="C1925" s="635" t="s">
        <v>1792</v>
      </c>
      <c r="D1925" s="635"/>
      <c r="E1925" s="635" t="s">
        <v>1533</v>
      </c>
      <c r="F1925" s="465" t="s">
        <v>96</v>
      </c>
      <c r="G1925" s="466">
        <v>3.7</v>
      </c>
      <c r="H1925" s="466">
        <v>0</v>
      </c>
      <c r="I1925" s="467">
        <v>0</v>
      </c>
      <c r="J1925" s="468">
        <v>0</v>
      </c>
    </row>
    <row r="1926" spans="1:10" ht="12.75" outlineLevel="2">
      <c r="A1926" s="645">
        <v>2142128068</v>
      </c>
      <c r="B1926" s="635" t="s">
        <v>218</v>
      </c>
      <c r="C1926" s="635" t="s">
        <v>1790</v>
      </c>
      <c r="D1926" s="635"/>
      <c r="E1926" s="635" t="s">
        <v>1533</v>
      </c>
      <c r="F1926" s="465" t="s">
        <v>96</v>
      </c>
      <c r="G1926" s="466">
        <v>5</v>
      </c>
      <c r="H1926" s="466">
        <v>0</v>
      </c>
      <c r="I1926" s="467">
        <v>0</v>
      </c>
      <c r="J1926" s="468">
        <v>0</v>
      </c>
    </row>
    <row r="1927" spans="1:10" ht="12.75" outlineLevel="2">
      <c r="A1927" s="645">
        <v>2142128069</v>
      </c>
      <c r="B1927" s="635" t="s">
        <v>219</v>
      </c>
      <c r="C1927" s="635" t="s">
        <v>1798</v>
      </c>
      <c r="D1927" s="635"/>
      <c r="E1927" s="635" t="s">
        <v>1494</v>
      </c>
      <c r="F1927" s="465" t="s">
        <v>96</v>
      </c>
      <c r="G1927" s="466">
        <v>8.5</v>
      </c>
      <c r="H1927" s="466">
        <v>8.327</v>
      </c>
      <c r="I1927" s="467">
        <v>8.326</v>
      </c>
      <c r="J1927" s="468">
        <v>0.001</v>
      </c>
    </row>
    <row r="1928" spans="1:10" ht="12.75" outlineLevel="2">
      <c r="A1928" s="645">
        <v>2142128070</v>
      </c>
      <c r="B1928" s="635" t="s">
        <v>220</v>
      </c>
      <c r="C1928" s="635" t="s">
        <v>1796</v>
      </c>
      <c r="D1928" s="635"/>
      <c r="E1928" s="635" t="s">
        <v>1494</v>
      </c>
      <c r="F1928" s="465" t="s">
        <v>1845</v>
      </c>
      <c r="G1928" s="466">
        <v>0</v>
      </c>
      <c r="H1928" s="466">
        <v>0.041</v>
      </c>
      <c r="I1928" s="467">
        <v>0.04</v>
      </c>
      <c r="J1928" s="468">
        <v>0.001</v>
      </c>
    </row>
    <row r="1929" spans="1:10" ht="12.75" outlineLevel="2">
      <c r="A1929" s="645">
        <v>2142128070</v>
      </c>
      <c r="B1929" s="635" t="s">
        <v>220</v>
      </c>
      <c r="C1929" s="635" t="s">
        <v>1796</v>
      </c>
      <c r="D1929" s="635"/>
      <c r="E1929" s="635" t="s">
        <v>1494</v>
      </c>
      <c r="F1929" s="465" t="s">
        <v>96</v>
      </c>
      <c r="G1929" s="466">
        <v>5.5</v>
      </c>
      <c r="H1929" s="466">
        <v>13.27</v>
      </c>
      <c r="I1929" s="467">
        <v>13.269</v>
      </c>
      <c r="J1929" s="468">
        <v>0.001</v>
      </c>
    </row>
    <row r="1930" spans="1:10" ht="12.75" outlineLevel="2">
      <c r="A1930" s="645">
        <v>2142128071</v>
      </c>
      <c r="B1930" s="635" t="s">
        <v>221</v>
      </c>
      <c r="C1930" s="635" t="s">
        <v>1802</v>
      </c>
      <c r="D1930" s="635"/>
      <c r="E1930" s="635" t="s">
        <v>1533</v>
      </c>
      <c r="F1930" s="465" t="s">
        <v>96</v>
      </c>
      <c r="G1930" s="466">
        <v>4</v>
      </c>
      <c r="H1930" s="466">
        <v>0</v>
      </c>
      <c r="I1930" s="467">
        <v>0</v>
      </c>
      <c r="J1930" s="468">
        <v>0</v>
      </c>
    </row>
    <row r="1931" spans="1:10" ht="12.75" outlineLevel="2">
      <c r="A1931" s="645">
        <v>2142128072</v>
      </c>
      <c r="B1931" s="635" t="s">
        <v>222</v>
      </c>
      <c r="C1931" s="635" t="s">
        <v>1784</v>
      </c>
      <c r="D1931" s="635"/>
      <c r="E1931" s="635" t="s">
        <v>1533</v>
      </c>
      <c r="F1931" s="465" t="s">
        <v>96</v>
      </c>
      <c r="G1931" s="466">
        <v>1.2</v>
      </c>
      <c r="H1931" s="466">
        <v>0</v>
      </c>
      <c r="I1931" s="467">
        <v>0</v>
      </c>
      <c r="J1931" s="468">
        <v>0</v>
      </c>
    </row>
    <row r="1932" spans="1:10" ht="12.75" outlineLevel="2">
      <c r="A1932" s="645">
        <v>2142128073</v>
      </c>
      <c r="B1932" s="635" t="s">
        <v>223</v>
      </c>
      <c r="C1932" s="635" t="s">
        <v>1784</v>
      </c>
      <c r="D1932" s="635"/>
      <c r="E1932" s="635" t="s">
        <v>1533</v>
      </c>
      <c r="F1932" s="465" t="s">
        <v>96</v>
      </c>
      <c r="G1932" s="466">
        <v>1.2</v>
      </c>
      <c r="H1932" s="466">
        <v>0</v>
      </c>
      <c r="I1932" s="467">
        <v>0</v>
      </c>
      <c r="J1932" s="468">
        <v>0</v>
      </c>
    </row>
    <row r="1933" spans="1:10" ht="12.75" outlineLevel="2">
      <c r="A1933" s="645">
        <v>2142128074</v>
      </c>
      <c r="B1933" s="635" t="s">
        <v>224</v>
      </c>
      <c r="C1933" s="635" t="s">
        <v>1802</v>
      </c>
      <c r="D1933" s="635"/>
      <c r="E1933" s="635" t="s">
        <v>1533</v>
      </c>
      <c r="F1933" s="465" t="s">
        <v>96</v>
      </c>
      <c r="G1933" s="466">
        <v>1</v>
      </c>
      <c r="H1933" s="466">
        <v>0</v>
      </c>
      <c r="I1933" s="467">
        <v>0</v>
      </c>
      <c r="J1933" s="468">
        <v>0</v>
      </c>
    </row>
    <row r="1934" spans="1:10" ht="12.75" outlineLevel="2">
      <c r="A1934" s="645">
        <v>2142128075</v>
      </c>
      <c r="B1934" s="635" t="s">
        <v>225</v>
      </c>
      <c r="C1934" s="635" t="s">
        <v>1796</v>
      </c>
      <c r="D1934" s="635"/>
      <c r="E1934" s="635" t="s">
        <v>1494</v>
      </c>
      <c r="F1934" s="465" t="s">
        <v>333</v>
      </c>
      <c r="G1934" s="466">
        <v>0</v>
      </c>
      <c r="H1934" s="466">
        <v>0</v>
      </c>
      <c r="I1934" s="467">
        <v>0.911</v>
      </c>
      <c r="J1934" s="468">
        <v>0</v>
      </c>
    </row>
    <row r="1935" spans="1:10" ht="12.75" outlineLevel="2">
      <c r="A1935" s="645">
        <v>2142128076</v>
      </c>
      <c r="B1935" s="635" t="s">
        <v>226</v>
      </c>
      <c r="C1935" s="635" t="s">
        <v>1777</v>
      </c>
      <c r="D1935" s="635"/>
      <c r="E1935" s="635" t="s">
        <v>1494</v>
      </c>
      <c r="F1935" s="465" t="s">
        <v>96</v>
      </c>
      <c r="G1935" s="466">
        <v>0</v>
      </c>
      <c r="H1935" s="466">
        <v>4.269</v>
      </c>
      <c r="I1935" s="467">
        <v>4.268</v>
      </c>
      <c r="J1935" s="468">
        <v>0.001</v>
      </c>
    </row>
    <row r="1936" spans="1:10" ht="12.75" outlineLevel="2">
      <c r="A1936" s="645">
        <v>2142128077</v>
      </c>
      <c r="B1936" s="635" t="s">
        <v>227</v>
      </c>
      <c r="C1936" s="635" t="s">
        <v>1788</v>
      </c>
      <c r="D1936" s="635"/>
      <c r="E1936" s="635" t="s">
        <v>1494</v>
      </c>
      <c r="F1936" s="465" t="s">
        <v>333</v>
      </c>
      <c r="G1936" s="466">
        <v>0</v>
      </c>
      <c r="H1936" s="466">
        <v>0</v>
      </c>
      <c r="I1936" s="467">
        <v>0.151</v>
      </c>
      <c r="J1936" s="468">
        <v>0</v>
      </c>
    </row>
    <row r="1937" spans="1:10" ht="12.75" outlineLevel="2">
      <c r="A1937" s="645">
        <v>2142128078</v>
      </c>
      <c r="B1937" s="635" t="s">
        <v>228</v>
      </c>
      <c r="C1937" s="635" t="s">
        <v>1788</v>
      </c>
      <c r="D1937" s="635"/>
      <c r="E1937" s="635" t="s">
        <v>1494</v>
      </c>
      <c r="F1937" s="465" t="s">
        <v>96</v>
      </c>
      <c r="G1937" s="466">
        <v>0</v>
      </c>
      <c r="H1937" s="466">
        <v>0.326</v>
      </c>
      <c r="I1937" s="467">
        <v>0.325</v>
      </c>
      <c r="J1937" s="468">
        <v>0.001</v>
      </c>
    </row>
    <row r="1938" spans="1:10" ht="12.75" outlineLevel="2">
      <c r="A1938" s="645">
        <v>2142128078</v>
      </c>
      <c r="B1938" s="635" t="s">
        <v>228</v>
      </c>
      <c r="C1938" s="635" t="s">
        <v>1788</v>
      </c>
      <c r="D1938" s="635"/>
      <c r="E1938" s="635" t="s">
        <v>1494</v>
      </c>
      <c r="F1938" s="465" t="s">
        <v>333</v>
      </c>
      <c r="G1938" s="466">
        <v>0</v>
      </c>
      <c r="H1938" s="466">
        <v>0</v>
      </c>
      <c r="I1938" s="467">
        <v>1.35</v>
      </c>
      <c r="J1938" s="468">
        <v>0</v>
      </c>
    </row>
    <row r="1939" spans="1:10" ht="12.75" outlineLevel="2">
      <c r="A1939" s="645">
        <v>2142128079</v>
      </c>
      <c r="B1939" s="635" t="s">
        <v>229</v>
      </c>
      <c r="C1939" s="635" t="s">
        <v>1794</v>
      </c>
      <c r="D1939" s="635"/>
      <c r="E1939" s="635" t="s">
        <v>1494</v>
      </c>
      <c r="F1939" s="465" t="s">
        <v>96</v>
      </c>
      <c r="G1939" s="466">
        <v>0</v>
      </c>
      <c r="H1939" s="466">
        <v>0.009</v>
      </c>
      <c r="I1939" s="467">
        <v>0.008</v>
      </c>
      <c r="J1939" s="468">
        <v>0.001</v>
      </c>
    </row>
    <row r="1940" spans="1:10" ht="12.75" outlineLevel="2">
      <c r="A1940" s="645">
        <v>2142128080</v>
      </c>
      <c r="B1940" s="635" t="s">
        <v>230</v>
      </c>
      <c r="C1940" s="635" t="s">
        <v>1788</v>
      </c>
      <c r="D1940" s="635"/>
      <c r="E1940" s="635" t="s">
        <v>1494</v>
      </c>
      <c r="F1940" s="465" t="s">
        <v>333</v>
      </c>
      <c r="G1940" s="466">
        <v>0</v>
      </c>
      <c r="H1940" s="466">
        <v>0</v>
      </c>
      <c r="I1940" s="467">
        <v>0.249</v>
      </c>
      <c r="J1940" s="468">
        <v>0</v>
      </c>
    </row>
    <row r="1941" spans="1:10" ht="12.75" outlineLevel="2">
      <c r="A1941" s="645">
        <v>2142128081</v>
      </c>
      <c r="B1941" s="635" t="s">
        <v>231</v>
      </c>
      <c r="C1941" s="635" t="s">
        <v>1796</v>
      </c>
      <c r="D1941" s="635"/>
      <c r="E1941" s="635" t="s">
        <v>1494</v>
      </c>
      <c r="F1941" s="465" t="s">
        <v>332</v>
      </c>
      <c r="G1941" s="466">
        <v>0</v>
      </c>
      <c r="H1941" s="466">
        <v>0</v>
      </c>
      <c r="I1941" s="467">
        <v>0.2</v>
      </c>
      <c r="J1941" s="468">
        <v>0</v>
      </c>
    </row>
    <row r="1942" spans="1:10" ht="12.75" outlineLevel="2">
      <c r="A1942" s="645">
        <v>2142128082</v>
      </c>
      <c r="B1942" s="635" t="s">
        <v>232</v>
      </c>
      <c r="C1942" s="635" t="s">
        <v>1794</v>
      </c>
      <c r="D1942" s="635"/>
      <c r="E1942" s="635" t="s">
        <v>1494</v>
      </c>
      <c r="F1942" s="465" t="s">
        <v>332</v>
      </c>
      <c r="G1942" s="466">
        <v>0</v>
      </c>
      <c r="H1942" s="466">
        <v>0</v>
      </c>
      <c r="I1942" s="467">
        <v>0.135</v>
      </c>
      <c r="J1942" s="468">
        <v>0</v>
      </c>
    </row>
    <row r="1943" spans="1:10" ht="12.75" outlineLevel="2">
      <c r="A1943" s="645">
        <v>2142128083</v>
      </c>
      <c r="B1943" s="635" t="s">
        <v>233</v>
      </c>
      <c r="C1943" s="635" t="s">
        <v>1777</v>
      </c>
      <c r="D1943" s="635"/>
      <c r="E1943" s="635" t="s">
        <v>1494</v>
      </c>
      <c r="F1943" s="465" t="s">
        <v>96</v>
      </c>
      <c r="G1943" s="466">
        <v>0</v>
      </c>
      <c r="H1943" s="466">
        <v>0.308</v>
      </c>
      <c r="I1943" s="467">
        <v>0.307</v>
      </c>
      <c r="J1943" s="468">
        <v>0.001</v>
      </c>
    </row>
    <row r="1944" spans="1:10" ht="12.75" outlineLevel="2">
      <c r="A1944" s="645">
        <v>2142128084</v>
      </c>
      <c r="B1944" s="635" t="s">
        <v>234</v>
      </c>
      <c r="C1944" s="635" t="s">
        <v>1792</v>
      </c>
      <c r="D1944" s="635"/>
      <c r="E1944" s="635" t="s">
        <v>1494</v>
      </c>
      <c r="F1944" s="465" t="s">
        <v>96</v>
      </c>
      <c r="G1944" s="466">
        <v>0</v>
      </c>
      <c r="H1944" s="466">
        <v>0.08</v>
      </c>
      <c r="I1944" s="467">
        <v>0.08</v>
      </c>
      <c r="J1944" s="468">
        <v>0</v>
      </c>
    </row>
    <row r="1945" spans="1:10" ht="12.75" outlineLevel="2">
      <c r="A1945" s="645">
        <v>2142128085</v>
      </c>
      <c r="B1945" s="635" t="s">
        <v>235</v>
      </c>
      <c r="C1945" s="635" t="s">
        <v>1802</v>
      </c>
      <c r="D1945" s="635"/>
      <c r="E1945" s="635" t="s">
        <v>1494</v>
      </c>
      <c r="F1945" s="465" t="s">
        <v>96</v>
      </c>
      <c r="G1945" s="466">
        <v>0</v>
      </c>
      <c r="H1945" s="466">
        <v>2.479</v>
      </c>
      <c r="I1945" s="467">
        <v>2.478</v>
      </c>
      <c r="J1945" s="468">
        <v>0.001</v>
      </c>
    </row>
    <row r="1946" spans="1:10" ht="12.75" outlineLevel="2">
      <c r="A1946" s="645">
        <v>2142128086</v>
      </c>
      <c r="B1946" s="635" t="s">
        <v>236</v>
      </c>
      <c r="C1946" s="635" t="s">
        <v>1794</v>
      </c>
      <c r="D1946" s="635"/>
      <c r="E1946" s="635" t="s">
        <v>1494</v>
      </c>
      <c r="F1946" s="465" t="s">
        <v>96</v>
      </c>
      <c r="G1946" s="466">
        <v>0</v>
      </c>
      <c r="H1946" s="466">
        <v>0.14</v>
      </c>
      <c r="I1946" s="467">
        <v>0.14</v>
      </c>
      <c r="J1946" s="468">
        <v>0</v>
      </c>
    </row>
    <row r="1947" spans="1:10" ht="12.75" outlineLevel="2">
      <c r="A1947" s="645">
        <v>2142128087</v>
      </c>
      <c r="B1947" s="635" t="s">
        <v>237</v>
      </c>
      <c r="C1947" s="635" t="s">
        <v>1794</v>
      </c>
      <c r="D1947" s="635"/>
      <c r="E1947" s="635" t="s">
        <v>1494</v>
      </c>
      <c r="F1947" s="465" t="s">
        <v>96</v>
      </c>
      <c r="G1947" s="466">
        <v>0</v>
      </c>
      <c r="H1947" s="466">
        <v>0.259</v>
      </c>
      <c r="I1947" s="467">
        <v>0.259</v>
      </c>
      <c r="J1947" s="468">
        <v>0</v>
      </c>
    </row>
    <row r="1948" spans="1:10" ht="12.75" outlineLevel="2">
      <c r="A1948" s="645">
        <v>2142128088</v>
      </c>
      <c r="B1948" s="635" t="s">
        <v>238</v>
      </c>
      <c r="C1948" s="635" t="s">
        <v>1777</v>
      </c>
      <c r="D1948" s="635"/>
      <c r="E1948" s="635" t="s">
        <v>1494</v>
      </c>
      <c r="F1948" s="465" t="s">
        <v>96</v>
      </c>
      <c r="G1948" s="466">
        <v>0</v>
      </c>
      <c r="H1948" s="466">
        <v>0.598</v>
      </c>
      <c r="I1948" s="467">
        <v>0.598</v>
      </c>
      <c r="J1948" s="468">
        <v>0</v>
      </c>
    </row>
    <row r="1949" spans="1:10" ht="12.75" outlineLevel="2">
      <c r="A1949" s="645">
        <v>2142128089</v>
      </c>
      <c r="B1949" s="635" t="s">
        <v>239</v>
      </c>
      <c r="C1949" s="635" t="s">
        <v>1784</v>
      </c>
      <c r="D1949" s="635"/>
      <c r="E1949" s="635" t="s">
        <v>1494</v>
      </c>
      <c r="F1949" s="465" t="s">
        <v>96</v>
      </c>
      <c r="G1949" s="466">
        <v>0</v>
      </c>
      <c r="H1949" s="466">
        <v>1.444</v>
      </c>
      <c r="I1949" s="467">
        <v>1.443</v>
      </c>
      <c r="J1949" s="468">
        <v>0.001</v>
      </c>
    </row>
    <row r="1950" spans="1:10" ht="12.75" outlineLevel="2">
      <c r="A1950" s="645">
        <v>2142128090</v>
      </c>
      <c r="B1950" s="635" t="s">
        <v>240</v>
      </c>
      <c r="C1950" s="635" t="s">
        <v>1777</v>
      </c>
      <c r="D1950" s="635"/>
      <c r="E1950" s="635" t="s">
        <v>1494</v>
      </c>
      <c r="F1950" s="465" t="s">
        <v>96</v>
      </c>
      <c r="G1950" s="466">
        <v>0</v>
      </c>
      <c r="H1950" s="466">
        <v>5.381</v>
      </c>
      <c r="I1950" s="467">
        <v>5.38</v>
      </c>
      <c r="J1950" s="468">
        <v>0.001</v>
      </c>
    </row>
    <row r="1951" spans="1:10" ht="12.75" outlineLevel="2">
      <c r="A1951" s="645">
        <v>2142128091</v>
      </c>
      <c r="B1951" s="635" t="s">
        <v>241</v>
      </c>
      <c r="C1951" s="635" t="s">
        <v>1784</v>
      </c>
      <c r="D1951" s="635"/>
      <c r="E1951" s="635" t="s">
        <v>1494</v>
      </c>
      <c r="F1951" s="465" t="s">
        <v>96</v>
      </c>
      <c r="G1951" s="466">
        <v>0</v>
      </c>
      <c r="H1951" s="466">
        <v>1.407</v>
      </c>
      <c r="I1951" s="467">
        <v>1.407</v>
      </c>
      <c r="J1951" s="468">
        <v>0</v>
      </c>
    </row>
    <row r="1952" spans="1:10" ht="12.75" outlineLevel="2">
      <c r="A1952" s="645">
        <v>2142128092</v>
      </c>
      <c r="B1952" s="635" t="s">
        <v>242</v>
      </c>
      <c r="C1952" s="635" t="s">
        <v>1802</v>
      </c>
      <c r="D1952" s="635"/>
      <c r="E1952" s="635" t="s">
        <v>1494</v>
      </c>
      <c r="F1952" s="465" t="s">
        <v>96</v>
      </c>
      <c r="G1952" s="466">
        <v>0</v>
      </c>
      <c r="H1952" s="466">
        <v>1.228</v>
      </c>
      <c r="I1952" s="467">
        <v>1.228</v>
      </c>
      <c r="J1952" s="468">
        <v>0</v>
      </c>
    </row>
    <row r="1953" spans="1:10" ht="12.75" outlineLevel="2">
      <c r="A1953" s="645">
        <v>2142128093</v>
      </c>
      <c r="B1953" s="635" t="s">
        <v>243</v>
      </c>
      <c r="C1953" s="635" t="s">
        <v>1804</v>
      </c>
      <c r="D1953" s="635"/>
      <c r="E1953" s="635" t="s">
        <v>1494</v>
      </c>
      <c r="F1953" s="465" t="s">
        <v>96</v>
      </c>
      <c r="G1953" s="466">
        <v>0</v>
      </c>
      <c r="H1953" s="466">
        <v>0.108</v>
      </c>
      <c r="I1953" s="467">
        <v>0.107</v>
      </c>
      <c r="J1953" s="468">
        <v>0.001</v>
      </c>
    </row>
    <row r="1954" spans="1:10" ht="12.75" outlineLevel="2">
      <c r="A1954" s="645">
        <v>2142128094</v>
      </c>
      <c r="B1954" s="635" t="s">
        <v>244</v>
      </c>
      <c r="C1954" s="635" t="s">
        <v>1777</v>
      </c>
      <c r="D1954" s="635"/>
      <c r="E1954" s="635" t="s">
        <v>1494</v>
      </c>
      <c r="F1954" s="465" t="s">
        <v>96</v>
      </c>
      <c r="G1954" s="466">
        <v>0</v>
      </c>
      <c r="H1954" s="466">
        <v>1.593</v>
      </c>
      <c r="I1954" s="467">
        <v>1.592</v>
      </c>
      <c r="J1954" s="468">
        <v>0.001</v>
      </c>
    </row>
    <row r="1955" spans="1:10" ht="12.75" outlineLevel="2">
      <c r="A1955" s="645">
        <v>2142128095</v>
      </c>
      <c r="B1955" s="635" t="s">
        <v>245</v>
      </c>
      <c r="C1955" s="635" t="s">
        <v>1804</v>
      </c>
      <c r="D1955" s="635"/>
      <c r="E1955" s="635" t="s">
        <v>1494</v>
      </c>
      <c r="F1955" s="465" t="s">
        <v>333</v>
      </c>
      <c r="G1955" s="466">
        <v>0</v>
      </c>
      <c r="H1955" s="466">
        <v>0</v>
      </c>
      <c r="I1955" s="467">
        <v>0.24</v>
      </c>
      <c r="J1955" s="468">
        <v>0</v>
      </c>
    </row>
    <row r="1956" spans="1:10" ht="12.75" outlineLevel="2">
      <c r="A1956" s="645">
        <v>2142128096</v>
      </c>
      <c r="B1956" s="635" t="s">
        <v>246</v>
      </c>
      <c r="C1956" s="635" t="s">
        <v>1790</v>
      </c>
      <c r="D1956" s="635"/>
      <c r="E1956" s="635" t="s">
        <v>1494</v>
      </c>
      <c r="F1956" s="465" t="s">
        <v>96</v>
      </c>
      <c r="G1956" s="466">
        <v>0</v>
      </c>
      <c r="H1956" s="466">
        <v>7.413</v>
      </c>
      <c r="I1956" s="467">
        <v>7.413</v>
      </c>
      <c r="J1956" s="468">
        <v>0</v>
      </c>
    </row>
    <row r="1957" spans="1:10" ht="12.75" outlineLevel="2">
      <c r="A1957" s="645">
        <v>2142128097</v>
      </c>
      <c r="B1957" s="635" t="s">
        <v>247</v>
      </c>
      <c r="C1957" s="635" t="s">
        <v>1777</v>
      </c>
      <c r="D1957" s="635"/>
      <c r="E1957" s="635" t="s">
        <v>1494</v>
      </c>
      <c r="F1957" s="465" t="s">
        <v>96</v>
      </c>
      <c r="G1957" s="466">
        <v>0</v>
      </c>
      <c r="H1957" s="466">
        <v>4.676</v>
      </c>
      <c r="I1957" s="467">
        <v>4.675</v>
      </c>
      <c r="J1957" s="468">
        <v>0.001</v>
      </c>
    </row>
    <row r="1958" spans="1:10" ht="12.75" outlineLevel="2">
      <c r="A1958" s="645">
        <v>2142128098</v>
      </c>
      <c r="B1958" s="635" t="s">
        <v>248</v>
      </c>
      <c r="C1958" s="635" t="s">
        <v>1790</v>
      </c>
      <c r="D1958" s="635"/>
      <c r="E1958" s="635" t="s">
        <v>1494</v>
      </c>
      <c r="F1958" s="465" t="s">
        <v>96</v>
      </c>
      <c r="G1958" s="466">
        <v>0</v>
      </c>
      <c r="H1958" s="466">
        <v>1.353</v>
      </c>
      <c r="I1958" s="467">
        <v>1.352</v>
      </c>
      <c r="J1958" s="468">
        <v>0.001</v>
      </c>
    </row>
    <row r="1959" spans="1:10" ht="12.75" outlineLevel="2">
      <c r="A1959" s="645">
        <v>2142128099</v>
      </c>
      <c r="B1959" s="635" t="s">
        <v>249</v>
      </c>
      <c r="C1959" s="635" t="s">
        <v>1792</v>
      </c>
      <c r="D1959" s="635"/>
      <c r="E1959" s="635" t="s">
        <v>1494</v>
      </c>
      <c r="F1959" s="465" t="s">
        <v>96</v>
      </c>
      <c r="G1959" s="466">
        <v>0</v>
      </c>
      <c r="H1959" s="466">
        <v>0.837</v>
      </c>
      <c r="I1959" s="467">
        <v>0.836</v>
      </c>
      <c r="J1959" s="468">
        <v>0.001</v>
      </c>
    </row>
    <row r="1960" spans="1:10" ht="12.75" outlineLevel="2">
      <c r="A1960" s="645">
        <v>2142128100</v>
      </c>
      <c r="B1960" s="635" t="s">
        <v>250</v>
      </c>
      <c r="C1960" s="635" t="s">
        <v>1784</v>
      </c>
      <c r="D1960" s="635"/>
      <c r="E1960" s="635" t="s">
        <v>1494</v>
      </c>
      <c r="F1960" s="465" t="s">
        <v>96</v>
      </c>
      <c r="G1960" s="466">
        <v>0</v>
      </c>
      <c r="H1960" s="466">
        <v>2.647</v>
      </c>
      <c r="I1960" s="467">
        <v>2.647</v>
      </c>
      <c r="J1960" s="468">
        <v>0</v>
      </c>
    </row>
    <row r="1961" spans="1:10" ht="12.75" outlineLevel="2">
      <c r="A1961" s="645">
        <v>2142128101</v>
      </c>
      <c r="B1961" s="635" t="s">
        <v>251</v>
      </c>
      <c r="C1961" s="635" t="s">
        <v>1784</v>
      </c>
      <c r="D1961" s="635"/>
      <c r="E1961" s="635" t="s">
        <v>1494</v>
      </c>
      <c r="F1961" s="465" t="s">
        <v>96</v>
      </c>
      <c r="G1961" s="466">
        <v>0</v>
      </c>
      <c r="H1961" s="466">
        <v>2.85</v>
      </c>
      <c r="I1961" s="467">
        <v>2.849</v>
      </c>
      <c r="J1961" s="468">
        <v>0.001</v>
      </c>
    </row>
    <row r="1962" spans="1:10" ht="12.75" outlineLevel="2">
      <c r="A1962" s="645">
        <v>2142128102</v>
      </c>
      <c r="B1962" s="635" t="s">
        <v>252</v>
      </c>
      <c r="C1962" s="635" t="s">
        <v>1777</v>
      </c>
      <c r="D1962" s="635"/>
      <c r="E1962" s="635" t="s">
        <v>1494</v>
      </c>
      <c r="F1962" s="465" t="s">
        <v>1845</v>
      </c>
      <c r="G1962" s="466">
        <v>0</v>
      </c>
      <c r="H1962" s="466">
        <v>0.124</v>
      </c>
      <c r="I1962" s="467">
        <v>0.124</v>
      </c>
      <c r="J1962" s="468">
        <v>0</v>
      </c>
    </row>
    <row r="1963" spans="1:10" ht="12.75" outlineLevel="2">
      <c r="A1963" s="645">
        <v>2142128102</v>
      </c>
      <c r="B1963" s="635" t="s">
        <v>252</v>
      </c>
      <c r="C1963" s="635" t="s">
        <v>1777</v>
      </c>
      <c r="D1963" s="635"/>
      <c r="E1963" s="635" t="s">
        <v>1494</v>
      </c>
      <c r="F1963" s="465" t="s">
        <v>96</v>
      </c>
      <c r="G1963" s="466">
        <v>0</v>
      </c>
      <c r="H1963" s="466">
        <v>0.321</v>
      </c>
      <c r="I1963" s="467">
        <v>0.319</v>
      </c>
      <c r="J1963" s="468">
        <v>0.002</v>
      </c>
    </row>
    <row r="1964" spans="1:10" ht="12.75" outlineLevel="2">
      <c r="A1964" s="645">
        <v>2142128103</v>
      </c>
      <c r="B1964" s="635" t="s">
        <v>892</v>
      </c>
      <c r="C1964" s="635" t="s">
        <v>1796</v>
      </c>
      <c r="D1964" s="635"/>
      <c r="E1964" s="635" t="s">
        <v>1494</v>
      </c>
      <c r="F1964" s="465" t="s">
        <v>333</v>
      </c>
      <c r="G1964" s="466">
        <v>0</v>
      </c>
      <c r="H1964" s="466">
        <v>0</v>
      </c>
      <c r="I1964" s="467">
        <v>0.128</v>
      </c>
      <c r="J1964" s="468">
        <v>0</v>
      </c>
    </row>
    <row r="1965" spans="1:10" ht="12.75" outlineLevel="2">
      <c r="A1965" s="645">
        <v>2142128104</v>
      </c>
      <c r="B1965" s="635" t="s">
        <v>893</v>
      </c>
      <c r="C1965" s="635" t="s">
        <v>1796</v>
      </c>
      <c r="D1965" s="635"/>
      <c r="E1965" s="635" t="s">
        <v>1494</v>
      </c>
      <c r="F1965" s="465" t="s">
        <v>333</v>
      </c>
      <c r="G1965" s="466">
        <v>0</v>
      </c>
      <c r="H1965" s="466">
        <v>0</v>
      </c>
      <c r="I1965" s="467">
        <v>0.139</v>
      </c>
      <c r="J1965" s="468">
        <v>0</v>
      </c>
    </row>
    <row r="1966" spans="1:10" ht="12.75" outlineLevel="2">
      <c r="A1966" s="645">
        <v>2142128105</v>
      </c>
      <c r="B1966" s="635" t="s">
        <v>894</v>
      </c>
      <c r="C1966" s="635" t="s">
        <v>1786</v>
      </c>
      <c r="D1966" s="635"/>
      <c r="E1966" s="635" t="s">
        <v>1494</v>
      </c>
      <c r="F1966" s="465" t="s">
        <v>96</v>
      </c>
      <c r="G1966" s="466">
        <v>0</v>
      </c>
      <c r="H1966" s="466">
        <v>2</v>
      </c>
      <c r="I1966" s="467">
        <v>2</v>
      </c>
      <c r="J1966" s="468">
        <v>0</v>
      </c>
    </row>
    <row r="1967" spans="1:10" ht="12.75" outlineLevel="2">
      <c r="A1967" s="645">
        <v>2142128106</v>
      </c>
      <c r="B1967" s="635" t="s">
        <v>895</v>
      </c>
      <c r="C1967" s="635" t="s">
        <v>1777</v>
      </c>
      <c r="D1967" s="635"/>
      <c r="E1967" s="635" t="s">
        <v>1494</v>
      </c>
      <c r="F1967" s="465" t="s">
        <v>96</v>
      </c>
      <c r="G1967" s="466">
        <v>0</v>
      </c>
      <c r="H1967" s="466">
        <v>1.197</v>
      </c>
      <c r="I1967" s="467">
        <v>1.196</v>
      </c>
      <c r="J1967" s="468">
        <v>0.001</v>
      </c>
    </row>
    <row r="1968" spans="1:10" ht="12.75" outlineLevel="2">
      <c r="A1968" s="645">
        <v>2142128107</v>
      </c>
      <c r="B1968" s="635" t="s">
        <v>896</v>
      </c>
      <c r="C1968" s="635" t="s">
        <v>1794</v>
      </c>
      <c r="D1968" s="635"/>
      <c r="E1968" s="635" t="s">
        <v>1494</v>
      </c>
      <c r="F1968" s="465" t="s">
        <v>333</v>
      </c>
      <c r="G1968" s="466">
        <v>0</v>
      </c>
      <c r="H1968" s="466">
        <v>0</v>
      </c>
      <c r="I1968" s="467">
        <v>0.69</v>
      </c>
      <c r="J1968" s="468">
        <v>0</v>
      </c>
    </row>
    <row r="1969" spans="1:10" ht="12.75" outlineLevel="2">
      <c r="A1969" s="645">
        <v>2142128108</v>
      </c>
      <c r="B1969" s="635" t="s">
        <v>897</v>
      </c>
      <c r="C1969" s="635" t="s">
        <v>1786</v>
      </c>
      <c r="D1969" s="635"/>
      <c r="E1969" s="635" t="s">
        <v>1494</v>
      </c>
      <c r="F1969" s="465" t="s">
        <v>333</v>
      </c>
      <c r="G1969" s="466">
        <v>0</v>
      </c>
      <c r="H1969" s="466">
        <v>0</v>
      </c>
      <c r="I1969" s="467">
        <v>1.248</v>
      </c>
      <c r="J1969" s="468">
        <v>0</v>
      </c>
    </row>
    <row r="1970" spans="1:10" ht="12.75" outlineLevel="2">
      <c r="A1970" s="645">
        <v>2142128109</v>
      </c>
      <c r="B1970" s="635" t="s">
        <v>898</v>
      </c>
      <c r="C1970" s="635" t="s">
        <v>1788</v>
      </c>
      <c r="D1970" s="635"/>
      <c r="E1970" s="635" t="s">
        <v>1494</v>
      </c>
      <c r="F1970" s="465" t="s">
        <v>96</v>
      </c>
      <c r="G1970" s="466">
        <v>0</v>
      </c>
      <c r="H1970" s="466">
        <v>1.056</v>
      </c>
      <c r="I1970" s="467">
        <v>1.056</v>
      </c>
      <c r="J1970" s="468">
        <v>0</v>
      </c>
    </row>
    <row r="1971" spans="1:10" ht="12.75" outlineLevel="2">
      <c r="A1971" s="645">
        <v>2142128110</v>
      </c>
      <c r="B1971" s="635" t="s">
        <v>899</v>
      </c>
      <c r="C1971" s="635" t="s">
        <v>1788</v>
      </c>
      <c r="D1971" s="635"/>
      <c r="E1971" s="635" t="s">
        <v>1494</v>
      </c>
      <c r="F1971" s="465" t="s">
        <v>96</v>
      </c>
      <c r="G1971" s="466">
        <v>0</v>
      </c>
      <c r="H1971" s="466">
        <v>0.56</v>
      </c>
      <c r="I1971" s="467">
        <v>0.56</v>
      </c>
      <c r="J1971" s="468">
        <v>0</v>
      </c>
    </row>
    <row r="1972" spans="1:10" ht="12.75" outlineLevel="2">
      <c r="A1972" s="645">
        <v>2142128111</v>
      </c>
      <c r="B1972" s="635" t="s">
        <v>900</v>
      </c>
      <c r="C1972" s="635" t="s">
        <v>1788</v>
      </c>
      <c r="D1972" s="635"/>
      <c r="E1972" s="635" t="s">
        <v>1494</v>
      </c>
      <c r="F1972" s="465" t="s">
        <v>96</v>
      </c>
      <c r="G1972" s="466">
        <v>0</v>
      </c>
      <c r="H1972" s="466">
        <v>0.221</v>
      </c>
      <c r="I1972" s="467">
        <v>0.221</v>
      </c>
      <c r="J1972" s="468">
        <v>0</v>
      </c>
    </row>
    <row r="1973" spans="1:10" ht="12.75" outlineLevel="2">
      <c r="A1973" s="645">
        <v>2142128112</v>
      </c>
      <c r="B1973" s="635" t="s">
        <v>901</v>
      </c>
      <c r="C1973" s="635" t="s">
        <v>1788</v>
      </c>
      <c r="D1973" s="635"/>
      <c r="E1973" s="635" t="s">
        <v>1494</v>
      </c>
      <c r="F1973" s="465" t="s">
        <v>333</v>
      </c>
      <c r="G1973" s="466">
        <v>0</v>
      </c>
      <c r="H1973" s="466">
        <v>0</v>
      </c>
      <c r="I1973" s="467">
        <v>0.15</v>
      </c>
      <c r="J1973" s="468">
        <v>0</v>
      </c>
    </row>
    <row r="1974" spans="1:10" ht="12.75" outlineLevel="2">
      <c r="A1974" s="645">
        <v>2142128113</v>
      </c>
      <c r="B1974" s="635" t="s">
        <v>902</v>
      </c>
      <c r="C1974" s="635" t="s">
        <v>1788</v>
      </c>
      <c r="D1974" s="635"/>
      <c r="E1974" s="635" t="s">
        <v>1494</v>
      </c>
      <c r="F1974" s="465" t="s">
        <v>96</v>
      </c>
      <c r="G1974" s="466">
        <v>0</v>
      </c>
      <c r="H1974" s="466">
        <v>0.15</v>
      </c>
      <c r="I1974" s="467">
        <v>0.149</v>
      </c>
      <c r="J1974" s="468">
        <v>0.001</v>
      </c>
    </row>
    <row r="1975" spans="1:10" ht="12.75" outlineLevel="2">
      <c r="A1975" s="645">
        <v>2142128113</v>
      </c>
      <c r="B1975" s="635" t="s">
        <v>902</v>
      </c>
      <c r="C1975" s="635" t="s">
        <v>1788</v>
      </c>
      <c r="D1975" s="635"/>
      <c r="E1975" s="635" t="s">
        <v>1494</v>
      </c>
      <c r="F1975" s="465" t="s">
        <v>333</v>
      </c>
      <c r="G1975" s="466">
        <v>0</v>
      </c>
      <c r="H1975" s="466">
        <v>0</v>
      </c>
      <c r="I1975" s="467">
        <v>0.133</v>
      </c>
      <c r="J1975" s="468">
        <v>0</v>
      </c>
    </row>
    <row r="1976" spans="1:10" ht="12.75" outlineLevel="2">
      <c r="A1976" s="645">
        <v>2142128114</v>
      </c>
      <c r="B1976" s="635" t="s">
        <v>903</v>
      </c>
      <c r="C1976" s="635" t="s">
        <v>1777</v>
      </c>
      <c r="D1976" s="635"/>
      <c r="E1976" s="635" t="s">
        <v>1494</v>
      </c>
      <c r="F1976" s="465" t="s">
        <v>96</v>
      </c>
      <c r="G1976" s="466">
        <v>0</v>
      </c>
      <c r="H1976" s="466">
        <v>6.979</v>
      </c>
      <c r="I1976" s="467">
        <v>6.979</v>
      </c>
      <c r="J1976" s="468">
        <v>0</v>
      </c>
    </row>
    <row r="1977" spans="1:10" ht="12.75" outlineLevel="2">
      <c r="A1977" s="645">
        <v>2142128115</v>
      </c>
      <c r="B1977" s="635" t="s">
        <v>904</v>
      </c>
      <c r="C1977" s="635" t="s">
        <v>1802</v>
      </c>
      <c r="D1977" s="635"/>
      <c r="E1977" s="635" t="s">
        <v>1494</v>
      </c>
      <c r="F1977" s="465" t="s">
        <v>96</v>
      </c>
      <c r="G1977" s="466">
        <v>0</v>
      </c>
      <c r="H1977" s="466">
        <v>3.224</v>
      </c>
      <c r="I1977" s="467">
        <v>3.223</v>
      </c>
      <c r="J1977" s="468">
        <v>0.001</v>
      </c>
    </row>
    <row r="1978" spans="1:10" ht="12.75" outlineLevel="2">
      <c r="A1978" s="645">
        <v>2142128116</v>
      </c>
      <c r="B1978" s="635" t="s">
        <v>905</v>
      </c>
      <c r="C1978" s="635" t="s">
        <v>1794</v>
      </c>
      <c r="D1978" s="635"/>
      <c r="E1978" s="635" t="s">
        <v>1494</v>
      </c>
      <c r="F1978" s="465" t="s">
        <v>333</v>
      </c>
      <c r="G1978" s="466">
        <v>0</v>
      </c>
      <c r="H1978" s="466">
        <v>0</v>
      </c>
      <c r="I1978" s="467">
        <v>0.302</v>
      </c>
      <c r="J1978" s="468">
        <v>0</v>
      </c>
    </row>
    <row r="1979" spans="1:10" ht="12.75" outlineLevel="2">
      <c r="A1979" s="645">
        <v>2142128117</v>
      </c>
      <c r="B1979" s="635" t="s">
        <v>906</v>
      </c>
      <c r="C1979" s="635" t="s">
        <v>1800</v>
      </c>
      <c r="D1979" s="635"/>
      <c r="E1979" s="635" t="s">
        <v>1494</v>
      </c>
      <c r="F1979" s="465" t="s">
        <v>333</v>
      </c>
      <c r="G1979" s="466">
        <v>0</v>
      </c>
      <c r="H1979" s="466">
        <v>0</v>
      </c>
      <c r="I1979" s="467">
        <v>1.811</v>
      </c>
      <c r="J1979" s="468">
        <v>0</v>
      </c>
    </row>
    <row r="1980" spans="1:10" ht="12.75" outlineLevel="2">
      <c r="A1980" s="645">
        <v>2142128118</v>
      </c>
      <c r="B1980" s="635" t="s">
        <v>907</v>
      </c>
      <c r="C1980" s="635" t="s">
        <v>1794</v>
      </c>
      <c r="D1980" s="635"/>
      <c r="E1980" s="635" t="s">
        <v>1494</v>
      </c>
      <c r="F1980" s="465" t="s">
        <v>333</v>
      </c>
      <c r="G1980" s="466">
        <v>0</v>
      </c>
      <c r="H1980" s="466">
        <v>0</v>
      </c>
      <c r="I1980" s="467">
        <v>0.296</v>
      </c>
      <c r="J1980" s="468">
        <v>0</v>
      </c>
    </row>
    <row r="1981" spans="1:10" ht="12.75" outlineLevel="2">
      <c r="A1981" s="645">
        <v>2142128119</v>
      </c>
      <c r="B1981" s="635" t="s">
        <v>908</v>
      </c>
      <c r="C1981" s="635" t="s">
        <v>1786</v>
      </c>
      <c r="D1981" s="635"/>
      <c r="E1981" s="635" t="s">
        <v>1494</v>
      </c>
      <c r="F1981" s="465" t="s">
        <v>96</v>
      </c>
      <c r="G1981" s="466">
        <v>0</v>
      </c>
      <c r="H1981" s="466">
        <v>1</v>
      </c>
      <c r="I1981" s="467">
        <v>0.999</v>
      </c>
      <c r="J1981" s="468">
        <v>0.001</v>
      </c>
    </row>
    <row r="1982" spans="1:10" ht="12.75" outlineLevel="2">
      <c r="A1982" s="645">
        <v>2142128120</v>
      </c>
      <c r="B1982" s="635" t="s">
        <v>909</v>
      </c>
      <c r="C1982" s="635" t="s">
        <v>1777</v>
      </c>
      <c r="D1982" s="635"/>
      <c r="E1982" s="635" t="s">
        <v>1494</v>
      </c>
      <c r="F1982" s="465" t="s">
        <v>96</v>
      </c>
      <c r="G1982" s="466">
        <v>0</v>
      </c>
      <c r="H1982" s="466">
        <v>0.591</v>
      </c>
      <c r="I1982" s="467">
        <v>0.591</v>
      </c>
      <c r="J1982" s="468">
        <v>0</v>
      </c>
    </row>
    <row r="1983" spans="1:10" ht="12.75" outlineLevel="2">
      <c r="A1983" s="645">
        <v>2142128121</v>
      </c>
      <c r="B1983" s="635" t="s">
        <v>910</v>
      </c>
      <c r="C1983" s="635" t="s">
        <v>1794</v>
      </c>
      <c r="D1983" s="635"/>
      <c r="E1983" s="635" t="s">
        <v>1494</v>
      </c>
      <c r="F1983" s="465" t="s">
        <v>96</v>
      </c>
      <c r="G1983" s="466">
        <v>0</v>
      </c>
      <c r="H1983" s="466">
        <v>4.7</v>
      </c>
      <c r="I1983" s="467">
        <v>4.7</v>
      </c>
      <c r="J1983" s="468">
        <v>0</v>
      </c>
    </row>
    <row r="1984" spans="1:10" ht="12.75" outlineLevel="2">
      <c r="A1984" s="645">
        <v>2142128122</v>
      </c>
      <c r="B1984" s="635" t="s">
        <v>911</v>
      </c>
      <c r="C1984" s="635" t="s">
        <v>1800</v>
      </c>
      <c r="D1984" s="635"/>
      <c r="E1984" s="635" t="s">
        <v>1494</v>
      </c>
      <c r="F1984" s="465" t="s">
        <v>96</v>
      </c>
      <c r="G1984" s="466">
        <v>0</v>
      </c>
      <c r="H1984" s="466">
        <v>0.124</v>
      </c>
      <c r="I1984" s="467">
        <v>0.123</v>
      </c>
      <c r="J1984" s="468">
        <v>0.001</v>
      </c>
    </row>
    <row r="1985" spans="1:10" ht="12.75" outlineLevel="2">
      <c r="A1985" s="645">
        <v>2142128123</v>
      </c>
      <c r="B1985" s="635" t="s">
        <v>912</v>
      </c>
      <c r="C1985" s="635" t="s">
        <v>1782</v>
      </c>
      <c r="D1985" s="635"/>
      <c r="E1985" s="635" t="s">
        <v>1494</v>
      </c>
      <c r="F1985" s="465" t="s">
        <v>96</v>
      </c>
      <c r="G1985" s="466">
        <v>0</v>
      </c>
      <c r="H1985" s="466">
        <v>3.97</v>
      </c>
      <c r="I1985" s="467">
        <v>3.969</v>
      </c>
      <c r="J1985" s="468">
        <v>0.001</v>
      </c>
    </row>
    <row r="1986" spans="1:10" ht="12.75" outlineLevel="2">
      <c r="A1986" s="645">
        <v>2142128124</v>
      </c>
      <c r="B1986" s="635" t="s">
        <v>913</v>
      </c>
      <c r="C1986" s="635" t="s">
        <v>1790</v>
      </c>
      <c r="D1986" s="635"/>
      <c r="E1986" s="635" t="s">
        <v>1494</v>
      </c>
      <c r="F1986" s="465" t="s">
        <v>96</v>
      </c>
      <c r="G1986" s="466">
        <v>0</v>
      </c>
      <c r="H1986" s="466">
        <v>2.508</v>
      </c>
      <c r="I1986" s="467">
        <v>2.507</v>
      </c>
      <c r="J1986" s="468">
        <v>0.001</v>
      </c>
    </row>
    <row r="1987" spans="1:10" ht="12.75" outlineLevel="2">
      <c r="A1987" s="645">
        <v>2142128125</v>
      </c>
      <c r="B1987" s="635" t="s">
        <v>914</v>
      </c>
      <c r="C1987" s="635" t="s">
        <v>1788</v>
      </c>
      <c r="D1987" s="635"/>
      <c r="E1987" s="635" t="s">
        <v>1494</v>
      </c>
      <c r="F1987" s="465" t="s">
        <v>333</v>
      </c>
      <c r="G1987" s="466">
        <v>0</v>
      </c>
      <c r="H1987" s="466">
        <v>0</v>
      </c>
      <c r="I1987" s="467">
        <v>0.379</v>
      </c>
      <c r="J1987" s="468">
        <v>0</v>
      </c>
    </row>
    <row r="1988" spans="1:10" ht="12.75" outlineLevel="2">
      <c r="A1988" s="645">
        <v>2142128126</v>
      </c>
      <c r="B1988" s="635" t="s">
        <v>915</v>
      </c>
      <c r="C1988" s="635" t="s">
        <v>1792</v>
      </c>
      <c r="D1988" s="635"/>
      <c r="E1988" s="635" t="s">
        <v>1494</v>
      </c>
      <c r="F1988" s="465" t="s">
        <v>96</v>
      </c>
      <c r="G1988" s="466">
        <v>0</v>
      </c>
      <c r="H1988" s="466">
        <v>0.643</v>
      </c>
      <c r="I1988" s="467">
        <v>0.642</v>
      </c>
      <c r="J1988" s="468">
        <v>0.001</v>
      </c>
    </row>
    <row r="1989" spans="1:10" ht="12.75" outlineLevel="2">
      <c r="A1989" s="645">
        <v>2142128127</v>
      </c>
      <c r="B1989" s="635" t="s">
        <v>916</v>
      </c>
      <c r="C1989" s="635" t="s">
        <v>1792</v>
      </c>
      <c r="D1989" s="635"/>
      <c r="E1989" s="635" t="s">
        <v>1494</v>
      </c>
      <c r="F1989" s="465" t="s">
        <v>96</v>
      </c>
      <c r="G1989" s="466">
        <v>0</v>
      </c>
      <c r="H1989" s="466">
        <v>1.645</v>
      </c>
      <c r="I1989" s="467">
        <v>1.645</v>
      </c>
      <c r="J1989" s="468">
        <v>0</v>
      </c>
    </row>
    <row r="1990" spans="1:10" ht="12.75" outlineLevel="2">
      <c r="A1990" s="645">
        <v>2142128128</v>
      </c>
      <c r="B1990" s="635" t="s">
        <v>917</v>
      </c>
      <c r="C1990" s="635" t="s">
        <v>1792</v>
      </c>
      <c r="D1990" s="635"/>
      <c r="E1990" s="635" t="s">
        <v>1494</v>
      </c>
      <c r="F1990" s="465" t="s">
        <v>96</v>
      </c>
      <c r="G1990" s="466">
        <v>0</v>
      </c>
      <c r="H1990" s="466">
        <v>4.843</v>
      </c>
      <c r="I1990" s="467">
        <v>4.843</v>
      </c>
      <c r="J1990" s="468">
        <v>0</v>
      </c>
    </row>
    <row r="1991" spans="1:10" ht="12.75" outlineLevel="2">
      <c r="A1991" s="645">
        <v>2142128129</v>
      </c>
      <c r="B1991" s="635" t="s">
        <v>918</v>
      </c>
      <c r="C1991" s="635" t="s">
        <v>1792</v>
      </c>
      <c r="D1991" s="635"/>
      <c r="E1991" s="635" t="s">
        <v>1494</v>
      </c>
      <c r="F1991" s="465" t="s">
        <v>96</v>
      </c>
      <c r="G1991" s="466">
        <v>0</v>
      </c>
      <c r="H1991" s="466">
        <v>0.122</v>
      </c>
      <c r="I1991" s="467">
        <v>0.122</v>
      </c>
      <c r="J1991" s="468">
        <v>0</v>
      </c>
    </row>
    <row r="1992" spans="1:10" ht="12.75" outlineLevel="2">
      <c r="A1992" s="645">
        <v>2142128130</v>
      </c>
      <c r="B1992" s="635" t="s">
        <v>919</v>
      </c>
      <c r="C1992" s="635" t="s">
        <v>1800</v>
      </c>
      <c r="D1992" s="635"/>
      <c r="E1992" s="635" t="s">
        <v>1494</v>
      </c>
      <c r="F1992" s="465" t="s">
        <v>96</v>
      </c>
      <c r="G1992" s="466">
        <v>0</v>
      </c>
      <c r="H1992" s="466">
        <v>0.238</v>
      </c>
      <c r="I1992" s="467">
        <v>0.237</v>
      </c>
      <c r="J1992" s="468">
        <v>0.001</v>
      </c>
    </row>
    <row r="1993" spans="1:10" ht="12.75" outlineLevel="2">
      <c r="A1993" s="645">
        <v>2142128131</v>
      </c>
      <c r="B1993" s="635" t="s">
        <v>920</v>
      </c>
      <c r="C1993" s="635" t="s">
        <v>1800</v>
      </c>
      <c r="D1993" s="635"/>
      <c r="E1993" s="635" t="s">
        <v>1494</v>
      </c>
      <c r="F1993" s="465" t="s">
        <v>96</v>
      </c>
      <c r="G1993" s="466">
        <v>0</v>
      </c>
      <c r="H1993" s="466">
        <v>0.88</v>
      </c>
      <c r="I1993" s="467">
        <v>0.88</v>
      </c>
      <c r="J1993" s="468">
        <v>0</v>
      </c>
    </row>
    <row r="1994" spans="1:10" ht="12.75" outlineLevel="2">
      <c r="A1994" s="645">
        <v>2142128132</v>
      </c>
      <c r="B1994" s="635" t="s">
        <v>921</v>
      </c>
      <c r="C1994" s="635" t="s">
        <v>1777</v>
      </c>
      <c r="D1994" s="635"/>
      <c r="E1994" s="635" t="s">
        <v>1494</v>
      </c>
      <c r="F1994" s="465" t="s">
        <v>96</v>
      </c>
      <c r="G1994" s="466">
        <v>0</v>
      </c>
      <c r="H1994" s="466">
        <v>2.441</v>
      </c>
      <c r="I1994" s="467">
        <v>2.441</v>
      </c>
      <c r="J1994" s="468">
        <v>0</v>
      </c>
    </row>
    <row r="1995" spans="1:10" ht="12.75" outlineLevel="2">
      <c r="A1995" s="645">
        <v>2142128133</v>
      </c>
      <c r="B1995" s="635" t="s">
        <v>922</v>
      </c>
      <c r="C1995" s="635" t="s">
        <v>1784</v>
      </c>
      <c r="D1995" s="635"/>
      <c r="E1995" s="635" t="s">
        <v>1494</v>
      </c>
      <c r="F1995" s="465" t="s">
        <v>96</v>
      </c>
      <c r="G1995" s="466">
        <v>0</v>
      </c>
      <c r="H1995" s="466">
        <v>0.138</v>
      </c>
      <c r="I1995" s="467">
        <v>0.137</v>
      </c>
      <c r="J1995" s="468">
        <v>0.001</v>
      </c>
    </row>
    <row r="1996" spans="1:10" ht="12.75" outlineLevel="2">
      <c r="A1996" s="645">
        <v>2142128134</v>
      </c>
      <c r="B1996" s="635" t="s">
        <v>923</v>
      </c>
      <c r="C1996" s="635" t="s">
        <v>1777</v>
      </c>
      <c r="D1996" s="635"/>
      <c r="E1996" s="635" t="s">
        <v>1494</v>
      </c>
      <c r="F1996" s="465" t="s">
        <v>96</v>
      </c>
      <c r="G1996" s="466">
        <v>0</v>
      </c>
      <c r="H1996" s="466">
        <v>0.23</v>
      </c>
      <c r="I1996" s="467">
        <v>0.229</v>
      </c>
      <c r="J1996" s="468">
        <v>0.001</v>
      </c>
    </row>
    <row r="1997" spans="1:10" ht="12.75" outlineLevel="2">
      <c r="A1997" s="645">
        <v>2142128135</v>
      </c>
      <c r="B1997" s="635" t="s">
        <v>924</v>
      </c>
      <c r="C1997" s="635" t="s">
        <v>1786</v>
      </c>
      <c r="D1997" s="635"/>
      <c r="E1997" s="635" t="s">
        <v>1494</v>
      </c>
      <c r="F1997" s="465" t="s">
        <v>96</v>
      </c>
      <c r="G1997" s="466">
        <v>0</v>
      </c>
      <c r="H1997" s="466">
        <v>2.05</v>
      </c>
      <c r="I1997" s="467">
        <v>2.05</v>
      </c>
      <c r="J1997" s="468">
        <v>0</v>
      </c>
    </row>
    <row r="1998" spans="1:10" ht="12.75" outlineLevel="2">
      <c r="A1998" s="645">
        <v>2142128136</v>
      </c>
      <c r="B1998" s="635" t="s">
        <v>925</v>
      </c>
      <c r="C1998" s="635" t="s">
        <v>1777</v>
      </c>
      <c r="D1998" s="635"/>
      <c r="E1998" s="635" t="s">
        <v>1494</v>
      </c>
      <c r="F1998" s="465" t="s">
        <v>96</v>
      </c>
      <c r="G1998" s="466">
        <v>0</v>
      </c>
      <c r="H1998" s="466">
        <v>1.14</v>
      </c>
      <c r="I1998" s="467">
        <v>1.14</v>
      </c>
      <c r="J1998" s="468">
        <v>0</v>
      </c>
    </row>
    <row r="1999" spans="1:10" ht="12.75" outlineLevel="2">
      <c r="A1999" s="645">
        <v>2142128137</v>
      </c>
      <c r="B1999" s="635" t="s">
        <v>926</v>
      </c>
      <c r="C1999" s="635" t="s">
        <v>1788</v>
      </c>
      <c r="D1999" s="635"/>
      <c r="E1999" s="635" t="s">
        <v>1494</v>
      </c>
      <c r="F1999" s="465" t="s">
        <v>96</v>
      </c>
      <c r="G1999" s="466">
        <v>0</v>
      </c>
      <c r="H1999" s="466">
        <v>0.062</v>
      </c>
      <c r="I1999" s="467">
        <v>0.061</v>
      </c>
      <c r="J1999" s="468">
        <v>0.001</v>
      </c>
    </row>
    <row r="2000" spans="1:10" ht="12.75" outlineLevel="2">
      <c r="A2000" s="645">
        <v>2142128138</v>
      </c>
      <c r="B2000" s="635" t="s">
        <v>927</v>
      </c>
      <c r="C2000" s="635" t="s">
        <v>1788</v>
      </c>
      <c r="D2000" s="635"/>
      <c r="E2000" s="635" t="s">
        <v>1494</v>
      </c>
      <c r="F2000" s="465" t="s">
        <v>96</v>
      </c>
      <c r="G2000" s="466">
        <v>0</v>
      </c>
      <c r="H2000" s="466">
        <v>0.612</v>
      </c>
      <c r="I2000" s="467">
        <v>0.611</v>
      </c>
      <c r="J2000" s="468">
        <v>0.001</v>
      </c>
    </row>
    <row r="2001" spans="1:10" ht="12.75" outlineLevel="2">
      <c r="A2001" s="645">
        <v>2142128139</v>
      </c>
      <c r="B2001" s="635" t="s">
        <v>928</v>
      </c>
      <c r="C2001" s="635" t="s">
        <v>1792</v>
      </c>
      <c r="D2001" s="635"/>
      <c r="E2001" s="635" t="s">
        <v>1494</v>
      </c>
      <c r="F2001" s="465" t="s">
        <v>96</v>
      </c>
      <c r="G2001" s="466">
        <v>0</v>
      </c>
      <c r="H2001" s="466">
        <v>0.2</v>
      </c>
      <c r="I2001" s="467">
        <v>0.198</v>
      </c>
      <c r="J2001" s="468">
        <v>0.002</v>
      </c>
    </row>
    <row r="2002" spans="1:10" ht="12.75" outlineLevel="2">
      <c r="A2002" s="645">
        <v>2142128140</v>
      </c>
      <c r="B2002" s="635" t="s">
        <v>929</v>
      </c>
      <c r="C2002" s="635" t="s">
        <v>1798</v>
      </c>
      <c r="D2002" s="635"/>
      <c r="E2002" s="635" t="s">
        <v>1494</v>
      </c>
      <c r="F2002" s="465" t="s">
        <v>96</v>
      </c>
      <c r="G2002" s="466">
        <v>0</v>
      </c>
      <c r="H2002" s="466">
        <v>0.3</v>
      </c>
      <c r="I2002" s="467">
        <v>0.3</v>
      </c>
      <c r="J2002" s="468">
        <v>0</v>
      </c>
    </row>
    <row r="2003" spans="1:10" ht="12.75" outlineLevel="2">
      <c r="A2003" s="645">
        <v>2142128141</v>
      </c>
      <c r="B2003" s="635" t="s">
        <v>930</v>
      </c>
      <c r="C2003" s="635" t="s">
        <v>1802</v>
      </c>
      <c r="D2003" s="635"/>
      <c r="E2003" s="635" t="s">
        <v>1494</v>
      </c>
      <c r="F2003" s="465" t="s">
        <v>96</v>
      </c>
      <c r="G2003" s="466">
        <v>0</v>
      </c>
      <c r="H2003" s="466">
        <v>0.549</v>
      </c>
      <c r="I2003" s="467">
        <v>0.548</v>
      </c>
      <c r="J2003" s="468">
        <v>0.001</v>
      </c>
    </row>
    <row r="2004" spans="1:10" ht="12.75" outlineLevel="2">
      <c r="A2004" s="645">
        <v>2142128142</v>
      </c>
      <c r="B2004" s="635" t="s">
        <v>931</v>
      </c>
      <c r="C2004" s="635" t="s">
        <v>1784</v>
      </c>
      <c r="D2004" s="635"/>
      <c r="E2004" s="635" t="s">
        <v>1494</v>
      </c>
      <c r="F2004" s="465" t="s">
        <v>96</v>
      </c>
      <c r="G2004" s="466">
        <v>0</v>
      </c>
      <c r="H2004" s="466">
        <v>0.13</v>
      </c>
      <c r="I2004" s="467">
        <v>0.13</v>
      </c>
      <c r="J2004" s="468">
        <v>0</v>
      </c>
    </row>
    <row r="2005" spans="1:10" ht="12.75" outlineLevel="2">
      <c r="A2005" s="645">
        <v>2142128143</v>
      </c>
      <c r="B2005" s="635" t="s">
        <v>932</v>
      </c>
      <c r="C2005" s="635" t="s">
        <v>1784</v>
      </c>
      <c r="D2005" s="635"/>
      <c r="E2005" s="635" t="s">
        <v>1494</v>
      </c>
      <c r="F2005" s="465" t="s">
        <v>96</v>
      </c>
      <c r="G2005" s="466">
        <v>0</v>
      </c>
      <c r="H2005" s="466">
        <v>0.534</v>
      </c>
      <c r="I2005" s="467">
        <v>0.534</v>
      </c>
      <c r="J2005" s="468">
        <v>0</v>
      </c>
    </row>
    <row r="2006" spans="1:10" ht="12.75" outlineLevel="2">
      <c r="A2006" s="645">
        <v>2142128144</v>
      </c>
      <c r="B2006" s="635" t="s">
        <v>933</v>
      </c>
      <c r="C2006" s="635" t="s">
        <v>1802</v>
      </c>
      <c r="D2006" s="635"/>
      <c r="E2006" s="635" t="s">
        <v>1494</v>
      </c>
      <c r="F2006" s="465" t="s">
        <v>333</v>
      </c>
      <c r="G2006" s="466">
        <v>0</v>
      </c>
      <c r="H2006" s="466">
        <v>0</v>
      </c>
      <c r="I2006" s="467">
        <v>0.528</v>
      </c>
      <c r="J2006" s="468">
        <v>0</v>
      </c>
    </row>
    <row r="2007" spans="1:10" ht="12.75" outlineLevel="2">
      <c r="A2007" s="645">
        <v>2142128145</v>
      </c>
      <c r="B2007" s="635" t="s">
        <v>934</v>
      </c>
      <c r="C2007" s="635" t="s">
        <v>1784</v>
      </c>
      <c r="D2007" s="635"/>
      <c r="E2007" s="635" t="s">
        <v>1494</v>
      </c>
      <c r="F2007" s="465" t="s">
        <v>96</v>
      </c>
      <c r="G2007" s="466">
        <v>0</v>
      </c>
      <c r="H2007" s="466">
        <v>0.29</v>
      </c>
      <c r="I2007" s="467">
        <v>0.29</v>
      </c>
      <c r="J2007" s="468">
        <v>0</v>
      </c>
    </row>
    <row r="2008" spans="1:10" ht="12.75" outlineLevel="2">
      <c r="A2008" s="645">
        <v>2142128146</v>
      </c>
      <c r="B2008" s="635" t="s">
        <v>935</v>
      </c>
      <c r="C2008" s="635" t="s">
        <v>1804</v>
      </c>
      <c r="D2008" s="635"/>
      <c r="E2008" s="635" t="s">
        <v>1494</v>
      </c>
      <c r="F2008" s="465" t="s">
        <v>96</v>
      </c>
      <c r="G2008" s="466">
        <v>0</v>
      </c>
      <c r="H2008" s="466">
        <v>0.656</v>
      </c>
      <c r="I2008" s="467">
        <v>0.655</v>
      </c>
      <c r="J2008" s="468">
        <v>0.001</v>
      </c>
    </row>
    <row r="2009" spans="1:10" ht="12.75" outlineLevel="2">
      <c r="A2009" s="645">
        <v>2142128147</v>
      </c>
      <c r="B2009" s="635" t="s">
        <v>936</v>
      </c>
      <c r="C2009" s="635" t="s">
        <v>1794</v>
      </c>
      <c r="D2009" s="635"/>
      <c r="E2009" s="635" t="s">
        <v>1494</v>
      </c>
      <c r="F2009" s="465" t="s">
        <v>333</v>
      </c>
      <c r="G2009" s="466">
        <v>0</v>
      </c>
      <c r="H2009" s="466">
        <v>0</v>
      </c>
      <c r="I2009" s="467">
        <v>0.35</v>
      </c>
      <c r="J2009" s="468">
        <v>0</v>
      </c>
    </row>
    <row r="2010" spans="1:10" ht="12.75" outlineLevel="2">
      <c r="A2010" s="645">
        <v>2142128148</v>
      </c>
      <c r="B2010" s="635" t="s">
        <v>937</v>
      </c>
      <c r="C2010" s="635" t="s">
        <v>1802</v>
      </c>
      <c r="D2010" s="635"/>
      <c r="E2010" s="635" t="s">
        <v>1494</v>
      </c>
      <c r="F2010" s="465" t="s">
        <v>96</v>
      </c>
      <c r="G2010" s="466">
        <v>0</v>
      </c>
      <c r="H2010" s="466">
        <v>0.071</v>
      </c>
      <c r="I2010" s="467">
        <v>0.07</v>
      </c>
      <c r="J2010" s="468">
        <v>0.001</v>
      </c>
    </row>
    <row r="2011" spans="1:10" ht="12.75" outlineLevel="2">
      <c r="A2011" s="645">
        <v>2142128149</v>
      </c>
      <c r="B2011" s="635" t="s">
        <v>938</v>
      </c>
      <c r="C2011" s="635" t="s">
        <v>1802</v>
      </c>
      <c r="D2011" s="635"/>
      <c r="E2011" s="635" t="s">
        <v>1494</v>
      </c>
      <c r="F2011" s="465" t="s">
        <v>96</v>
      </c>
      <c r="G2011" s="466">
        <v>0</v>
      </c>
      <c r="H2011" s="466">
        <v>0.039</v>
      </c>
      <c r="I2011" s="467">
        <v>0.039</v>
      </c>
      <c r="J2011" s="468">
        <v>0</v>
      </c>
    </row>
    <row r="2012" spans="1:10" ht="12.75" outlineLevel="2">
      <c r="A2012" s="645">
        <v>2142128150</v>
      </c>
      <c r="B2012" s="635" t="s">
        <v>939</v>
      </c>
      <c r="C2012" s="635" t="s">
        <v>1802</v>
      </c>
      <c r="D2012" s="635"/>
      <c r="E2012" s="635" t="s">
        <v>1494</v>
      </c>
      <c r="F2012" s="465" t="s">
        <v>333</v>
      </c>
      <c r="G2012" s="466">
        <v>0</v>
      </c>
      <c r="H2012" s="466">
        <v>0</v>
      </c>
      <c r="I2012" s="467">
        <v>0.09</v>
      </c>
      <c r="J2012" s="468">
        <v>0</v>
      </c>
    </row>
    <row r="2013" spans="1:10" ht="12.75" outlineLevel="2">
      <c r="A2013" s="645">
        <v>2142128151</v>
      </c>
      <c r="B2013" s="635" t="s">
        <v>940</v>
      </c>
      <c r="C2013" s="635" t="s">
        <v>1794</v>
      </c>
      <c r="D2013" s="635"/>
      <c r="E2013" s="635" t="s">
        <v>1494</v>
      </c>
      <c r="F2013" s="465" t="s">
        <v>96</v>
      </c>
      <c r="G2013" s="466">
        <v>0</v>
      </c>
      <c r="H2013" s="466">
        <v>0.35</v>
      </c>
      <c r="I2013" s="467">
        <v>0.35</v>
      </c>
      <c r="J2013" s="468">
        <v>0</v>
      </c>
    </row>
    <row r="2014" spans="1:10" ht="12.75" outlineLevel="2">
      <c r="A2014" s="645">
        <v>2142128152</v>
      </c>
      <c r="B2014" s="635" t="s">
        <v>941</v>
      </c>
      <c r="C2014" s="635" t="s">
        <v>1794</v>
      </c>
      <c r="D2014" s="635"/>
      <c r="E2014" s="635" t="s">
        <v>1494</v>
      </c>
      <c r="F2014" s="465" t="s">
        <v>96</v>
      </c>
      <c r="G2014" s="466">
        <v>0</v>
      </c>
      <c r="H2014" s="466">
        <v>0.15</v>
      </c>
      <c r="I2014" s="467">
        <v>0.15</v>
      </c>
      <c r="J2014" s="468">
        <v>0</v>
      </c>
    </row>
    <row r="2015" spans="1:10" ht="12.75" outlineLevel="2">
      <c r="A2015" s="645">
        <v>2142128153</v>
      </c>
      <c r="B2015" s="635" t="s">
        <v>942</v>
      </c>
      <c r="C2015" s="635" t="s">
        <v>1794</v>
      </c>
      <c r="D2015" s="635"/>
      <c r="E2015" s="635" t="s">
        <v>1494</v>
      </c>
      <c r="F2015" s="465" t="s">
        <v>333</v>
      </c>
      <c r="G2015" s="466">
        <v>0</v>
      </c>
      <c r="H2015" s="466">
        <v>0</v>
      </c>
      <c r="I2015" s="467">
        <v>0.16</v>
      </c>
      <c r="J2015" s="468">
        <v>0</v>
      </c>
    </row>
    <row r="2016" spans="1:10" ht="12.75" outlineLevel="2">
      <c r="A2016" s="645">
        <v>2142128154</v>
      </c>
      <c r="B2016" s="635" t="s">
        <v>943</v>
      </c>
      <c r="C2016" s="635" t="s">
        <v>1777</v>
      </c>
      <c r="D2016" s="635"/>
      <c r="E2016" s="635" t="s">
        <v>1494</v>
      </c>
      <c r="F2016" s="465" t="s">
        <v>96</v>
      </c>
      <c r="G2016" s="466">
        <v>0</v>
      </c>
      <c r="H2016" s="466">
        <v>2.138</v>
      </c>
      <c r="I2016" s="467">
        <v>2.137</v>
      </c>
      <c r="J2016" s="468">
        <v>0.001</v>
      </c>
    </row>
    <row r="2017" spans="1:10" ht="12.75" outlineLevel="2">
      <c r="A2017" s="645">
        <v>2142128155</v>
      </c>
      <c r="B2017" s="635" t="s">
        <v>944</v>
      </c>
      <c r="C2017" s="635" t="s">
        <v>1798</v>
      </c>
      <c r="D2017" s="635"/>
      <c r="E2017" s="635" t="s">
        <v>1494</v>
      </c>
      <c r="F2017" s="465" t="s">
        <v>96</v>
      </c>
      <c r="G2017" s="466">
        <v>0</v>
      </c>
      <c r="H2017" s="466">
        <v>0.69</v>
      </c>
      <c r="I2017" s="467">
        <v>0.684</v>
      </c>
      <c r="J2017" s="468">
        <v>0.006</v>
      </c>
    </row>
    <row r="2018" spans="1:10" ht="12.75" outlineLevel="2">
      <c r="A2018" s="645">
        <v>2142128156</v>
      </c>
      <c r="B2018" s="635" t="s">
        <v>945</v>
      </c>
      <c r="C2018" s="635" t="s">
        <v>1804</v>
      </c>
      <c r="D2018" s="635"/>
      <c r="E2018" s="635" t="s">
        <v>1494</v>
      </c>
      <c r="F2018" s="465" t="s">
        <v>96</v>
      </c>
      <c r="G2018" s="466">
        <v>0</v>
      </c>
      <c r="H2018" s="466">
        <v>1.092</v>
      </c>
      <c r="I2018" s="467">
        <v>1.092</v>
      </c>
      <c r="J2018" s="468">
        <v>0</v>
      </c>
    </row>
    <row r="2019" spans="1:10" ht="12.75" outlineLevel="2">
      <c r="A2019" s="645">
        <v>2142128157</v>
      </c>
      <c r="B2019" s="635" t="s">
        <v>946</v>
      </c>
      <c r="C2019" s="635" t="s">
        <v>1804</v>
      </c>
      <c r="D2019" s="635"/>
      <c r="E2019" s="635" t="s">
        <v>1494</v>
      </c>
      <c r="F2019" s="465" t="s">
        <v>333</v>
      </c>
      <c r="G2019" s="466">
        <v>0</v>
      </c>
      <c r="H2019" s="466">
        <v>0</v>
      </c>
      <c r="I2019" s="467">
        <v>0.077</v>
      </c>
      <c r="J2019" s="468">
        <v>0</v>
      </c>
    </row>
    <row r="2020" spans="1:10" ht="12.75" outlineLevel="2">
      <c r="A2020" s="645">
        <v>2142128158</v>
      </c>
      <c r="B2020" s="635" t="s">
        <v>947</v>
      </c>
      <c r="C2020" s="635" t="s">
        <v>1804</v>
      </c>
      <c r="D2020" s="635"/>
      <c r="E2020" s="635" t="s">
        <v>1494</v>
      </c>
      <c r="F2020" s="465" t="s">
        <v>96</v>
      </c>
      <c r="G2020" s="466">
        <v>0</v>
      </c>
      <c r="H2020" s="466">
        <v>0.024</v>
      </c>
      <c r="I2020" s="467">
        <v>0.024</v>
      </c>
      <c r="J2020" s="468">
        <v>0</v>
      </c>
    </row>
    <row r="2021" spans="1:10" ht="12.75" outlineLevel="2">
      <c r="A2021" s="645">
        <v>2142137142</v>
      </c>
      <c r="B2021" s="635" t="s">
        <v>948</v>
      </c>
      <c r="C2021" s="635" t="s">
        <v>1796</v>
      </c>
      <c r="D2021" s="635"/>
      <c r="E2021" s="635" t="s">
        <v>1494</v>
      </c>
      <c r="F2021" s="465" t="s">
        <v>96</v>
      </c>
      <c r="G2021" s="466">
        <v>0</v>
      </c>
      <c r="H2021" s="466">
        <v>5.702</v>
      </c>
      <c r="I2021" s="467">
        <v>5.701</v>
      </c>
      <c r="J2021" s="468">
        <v>0.001</v>
      </c>
    </row>
    <row r="2022" spans="1:10" ht="12.75" outlineLevel="2">
      <c r="A2022" s="645">
        <v>2142137235</v>
      </c>
      <c r="B2022" s="635" t="s">
        <v>949</v>
      </c>
      <c r="C2022" s="635" t="s">
        <v>1777</v>
      </c>
      <c r="D2022" s="635"/>
      <c r="E2022" s="635" t="s">
        <v>1494</v>
      </c>
      <c r="F2022" s="465" t="s">
        <v>96</v>
      </c>
      <c r="G2022" s="466">
        <v>0</v>
      </c>
      <c r="H2022" s="466">
        <v>0.837</v>
      </c>
      <c r="I2022" s="467">
        <v>0.836</v>
      </c>
      <c r="J2022" s="468">
        <v>0.001</v>
      </c>
    </row>
    <row r="2023" spans="1:10" ht="12.75" outlineLevel="2">
      <c r="A2023" s="645">
        <v>2142138001</v>
      </c>
      <c r="B2023" s="635" t="s">
        <v>950</v>
      </c>
      <c r="C2023" s="635" t="s">
        <v>1777</v>
      </c>
      <c r="D2023" s="635"/>
      <c r="E2023" s="635" t="s">
        <v>1494</v>
      </c>
      <c r="F2023" s="465" t="s">
        <v>96</v>
      </c>
      <c r="G2023" s="466">
        <v>7.245</v>
      </c>
      <c r="H2023" s="466">
        <v>6.755</v>
      </c>
      <c r="I2023" s="467">
        <v>6.753</v>
      </c>
      <c r="J2023" s="468">
        <v>0.002</v>
      </c>
    </row>
    <row r="2024" spans="1:10" ht="12.75" outlineLevel="2">
      <c r="A2024" s="645">
        <v>2142138001</v>
      </c>
      <c r="B2024" s="635" t="s">
        <v>950</v>
      </c>
      <c r="C2024" s="635" t="s">
        <v>1777</v>
      </c>
      <c r="D2024" s="635"/>
      <c r="E2024" s="635" t="s">
        <v>1494</v>
      </c>
      <c r="F2024" s="465" t="s">
        <v>333</v>
      </c>
      <c r="G2024" s="466">
        <v>0</v>
      </c>
      <c r="H2024" s="466">
        <v>0</v>
      </c>
      <c r="I2024" s="467">
        <v>0.837</v>
      </c>
      <c r="J2024" s="468">
        <v>0</v>
      </c>
    </row>
    <row r="2025" spans="1:10" ht="12.75" outlineLevel="2">
      <c r="A2025" s="645">
        <v>2142138002</v>
      </c>
      <c r="B2025" s="635" t="s">
        <v>951</v>
      </c>
      <c r="C2025" s="635" t="s">
        <v>1777</v>
      </c>
      <c r="D2025" s="635"/>
      <c r="E2025" s="635" t="s">
        <v>1533</v>
      </c>
      <c r="F2025" s="465" t="s">
        <v>96</v>
      </c>
      <c r="G2025" s="466">
        <v>0.1</v>
      </c>
      <c r="H2025" s="466">
        <v>0</v>
      </c>
      <c r="I2025" s="467">
        <v>0</v>
      </c>
      <c r="J2025" s="468">
        <v>0</v>
      </c>
    </row>
    <row r="2026" spans="1:10" ht="12.75" outlineLevel="2">
      <c r="A2026" s="645">
        <v>2142138003</v>
      </c>
      <c r="B2026" s="635" t="s">
        <v>952</v>
      </c>
      <c r="C2026" s="635" t="s">
        <v>1777</v>
      </c>
      <c r="D2026" s="635"/>
      <c r="E2026" s="635" t="s">
        <v>1494</v>
      </c>
      <c r="F2026" s="465" t="s">
        <v>96</v>
      </c>
      <c r="G2026" s="466">
        <v>0.17</v>
      </c>
      <c r="H2026" s="466">
        <v>0.122</v>
      </c>
      <c r="I2026" s="467">
        <v>0.122</v>
      </c>
      <c r="J2026" s="468">
        <v>0</v>
      </c>
    </row>
    <row r="2027" spans="1:10" ht="12.75" outlineLevel="2">
      <c r="A2027" s="645">
        <v>2142138004</v>
      </c>
      <c r="B2027" s="635" t="s">
        <v>953</v>
      </c>
      <c r="C2027" s="635" t="s">
        <v>1777</v>
      </c>
      <c r="D2027" s="635"/>
      <c r="E2027" s="635" t="s">
        <v>1533</v>
      </c>
      <c r="F2027" s="465" t="s">
        <v>96</v>
      </c>
      <c r="G2027" s="466">
        <v>0.1</v>
      </c>
      <c r="H2027" s="466">
        <v>0</v>
      </c>
      <c r="I2027" s="467">
        <v>0</v>
      </c>
      <c r="J2027" s="468">
        <v>0</v>
      </c>
    </row>
    <row r="2028" spans="1:10" ht="12.75" outlineLevel="2">
      <c r="A2028" s="645">
        <v>2142138005</v>
      </c>
      <c r="B2028" s="635" t="s">
        <v>954</v>
      </c>
      <c r="C2028" s="635" t="s">
        <v>1777</v>
      </c>
      <c r="D2028" s="635"/>
      <c r="E2028" s="635" t="s">
        <v>1494</v>
      </c>
      <c r="F2028" s="465" t="s">
        <v>96</v>
      </c>
      <c r="G2028" s="466">
        <v>0.5</v>
      </c>
      <c r="H2028" s="466">
        <v>0.32</v>
      </c>
      <c r="I2028" s="467">
        <v>0.32</v>
      </c>
      <c r="J2028" s="468">
        <v>0</v>
      </c>
    </row>
    <row r="2029" spans="1:10" ht="12.75" outlineLevel="2">
      <c r="A2029" s="645">
        <v>2142138006</v>
      </c>
      <c r="B2029" s="635" t="s">
        <v>955</v>
      </c>
      <c r="C2029" s="635" t="s">
        <v>1777</v>
      </c>
      <c r="D2029" s="635"/>
      <c r="E2029" s="635" t="s">
        <v>1494</v>
      </c>
      <c r="F2029" s="465" t="s">
        <v>96</v>
      </c>
      <c r="G2029" s="466">
        <v>0.34</v>
      </c>
      <c r="H2029" s="466">
        <v>0.437</v>
      </c>
      <c r="I2029" s="467">
        <v>0.437</v>
      </c>
      <c r="J2029" s="468">
        <v>0</v>
      </c>
    </row>
    <row r="2030" spans="1:10" ht="12.75" outlineLevel="2">
      <c r="A2030" s="645">
        <v>2142138007</v>
      </c>
      <c r="B2030" s="635" t="s">
        <v>956</v>
      </c>
      <c r="C2030" s="635" t="s">
        <v>1777</v>
      </c>
      <c r="D2030" s="635"/>
      <c r="E2030" s="635" t="s">
        <v>1494</v>
      </c>
      <c r="F2030" s="465" t="s">
        <v>96</v>
      </c>
      <c r="G2030" s="466">
        <v>0.083</v>
      </c>
      <c r="H2030" s="466">
        <v>0.097</v>
      </c>
      <c r="I2030" s="467">
        <v>0.097</v>
      </c>
      <c r="J2030" s="468">
        <v>0</v>
      </c>
    </row>
    <row r="2031" spans="1:10" ht="12.75" outlineLevel="2">
      <c r="A2031" s="645">
        <v>2142138008</v>
      </c>
      <c r="B2031" s="635" t="s">
        <v>957</v>
      </c>
      <c r="C2031" s="635" t="s">
        <v>1777</v>
      </c>
      <c r="D2031" s="635"/>
      <c r="E2031" s="635" t="s">
        <v>1494</v>
      </c>
      <c r="F2031" s="465" t="s">
        <v>96</v>
      </c>
      <c r="G2031" s="466">
        <v>0.7</v>
      </c>
      <c r="H2031" s="466">
        <v>0.753</v>
      </c>
      <c r="I2031" s="467">
        <v>0.752</v>
      </c>
      <c r="J2031" s="468">
        <v>0.001</v>
      </c>
    </row>
    <row r="2032" spans="1:10" ht="12.75" outlineLevel="2">
      <c r="A2032" s="645">
        <v>2142138009</v>
      </c>
      <c r="B2032" s="635" t="s">
        <v>958</v>
      </c>
      <c r="C2032" s="635" t="s">
        <v>1777</v>
      </c>
      <c r="D2032" s="635"/>
      <c r="E2032" s="635" t="s">
        <v>1533</v>
      </c>
      <c r="F2032" s="465" t="s">
        <v>96</v>
      </c>
      <c r="G2032" s="466">
        <v>0.09</v>
      </c>
      <c r="H2032" s="466">
        <v>0</v>
      </c>
      <c r="I2032" s="467">
        <v>0</v>
      </c>
      <c r="J2032" s="468">
        <v>0</v>
      </c>
    </row>
    <row r="2033" spans="1:10" ht="12.75" outlineLevel="2">
      <c r="A2033" s="645">
        <v>2142138010</v>
      </c>
      <c r="B2033" s="635" t="s">
        <v>959</v>
      </c>
      <c r="C2033" s="635" t="s">
        <v>1777</v>
      </c>
      <c r="D2033" s="635"/>
      <c r="E2033" s="635" t="s">
        <v>1494</v>
      </c>
      <c r="F2033" s="465" t="s">
        <v>96</v>
      </c>
      <c r="G2033" s="466">
        <v>0.1</v>
      </c>
      <c r="H2033" s="466">
        <v>0.094</v>
      </c>
      <c r="I2033" s="467">
        <v>0.094</v>
      </c>
      <c r="J2033" s="468">
        <v>0</v>
      </c>
    </row>
    <row r="2034" spans="1:10" ht="12.75" outlineLevel="2">
      <c r="A2034" s="645">
        <v>2142138011</v>
      </c>
      <c r="B2034" s="635" t="s">
        <v>960</v>
      </c>
      <c r="C2034" s="635" t="s">
        <v>1777</v>
      </c>
      <c r="D2034" s="635"/>
      <c r="E2034" s="635" t="s">
        <v>1494</v>
      </c>
      <c r="F2034" s="465" t="s">
        <v>96</v>
      </c>
      <c r="G2034" s="466">
        <v>0.1</v>
      </c>
      <c r="H2034" s="466">
        <v>0.099</v>
      </c>
      <c r="I2034" s="467">
        <v>0.098</v>
      </c>
      <c r="J2034" s="468">
        <v>0.001</v>
      </c>
    </row>
    <row r="2035" spans="1:10" ht="12.75" outlineLevel="2">
      <c r="A2035" s="645">
        <v>2142138012</v>
      </c>
      <c r="B2035" s="635" t="s">
        <v>961</v>
      </c>
      <c r="C2035" s="635" t="s">
        <v>1777</v>
      </c>
      <c r="D2035" s="635"/>
      <c r="E2035" s="635" t="s">
        <v>1494</v>
      </c>
      <c r="F2035" s="465" t="s">
        <v>96</v>
      </c>
      <c r="G2035" s="466">
        <v>0.7</v>
      </c>
      <c r="H2035" s="466">
        <v>0.41</v>
      </c>
      <c r="I2035" s="467">
        <v>0.41</v>
      </c>
      <c r="J2035" s="468">
        <v>0</v>
      </c>
    </row>
    <row r="2036" spans="1:10" ht="12.75" outlineLevel="2">
      <c r="A2036" s="645">
        <v>2142138013</v>
      </c>
      <c r="B2036" s="635" t="s">
        <v>962</v>
      </c>
      <c r="C2036" s="635" t="s">
        <v>1777</v>
      </c>
      <c r="D2036" s="635"/>
      <c r="E2036" s="635" t="s">
        <v>1494</v>
      </c>
      <c r="F2036" s="465" t="s">
        <v>96</v>
      </c>
      <c r="G2036" s="466">
        <v>0.07</v>
      </c>
      <c r="H2036" s="466">
        <v>0.069</v>
      </c>
      <c r="I2036" s="467">
        <v>0.069</v>
      </c>
      <c r="J2036" s="468">
        <v>0</v>
      </c>
    </row>
    <row r="2037" spans="1:10" ht="12.75" outlineLevel="2">
      <c r="A2037" s="645">
        <v>2142138014</v>
      </c>
      <c r="B2037" s="635" t="s">
        <v>963</v>
      </c>
      <c r="C2037" s="635" t="s">
        <v>1777</v>
      </c>
      <c r="D2037" s="635"/>
      <c r="E2037" s="635" t="s">
        <v>1533</v>
      </c>
      <c r="F2037" s="465" t="s">
        <v>96</v>
      </c>
      <c r="G2037" s="466">
        <v>0.16</v>
      </c>
      <c r="H2037" s="466">
        <v>0</v>
      </c>
      <c r="I2037" s="467">
        <v>0</v>
      </c>
      <c r="J2037" s="468">
        <v>0</v>
      </c>
    </row>
    <row r="2038" spans="1:10" ht="12.75" outlineLevel="2">
      <c r="A2038" s="645">
        <v>2142138015</v>
      </c>
      <c r="B2038" s="635" t="s">
        <v>1850</v>
      </c>
      <c r="C2038" s="635" t="s">
        <v>1777</v>
      </c>
      <c r="D2038" s="635"/>
      <c r="E2038" s="635" t="s">
        <v>1494</v>
      </c>
      <c r="F2038" s="465" t="s">
        <v>1845</v>
      </c>
      <c r="G2038" s="466">
        <v>2.5</v>
      </c>
      <c r="H2038" s="466">
        <v>0.76</v>
      </c>
      <c r="I2038" s="467">
        <v>0.745</v>
      </c>
      <c r="J2038" s="468">
        <v>0.015</v>
      </c>
    </row>
    <row r="2039" spans="1:10" ht="12.75" outlineLevel="2">
      <c r="A2039" s="645">
        <v>2142138016</v>
      </c>
      <c r="B2039" s="635" t="s">
        <v>964</v>
      </c>
      <c r="C2039" s="635" t="s">
        <v>1777</v>
      </c>
      <c r="D2039" s="635"/>
      <c r="E2039" s="635" t="s">
        <v>1494</v>
      </c>
      <c r="F2039" s="465" t="s">
        <v>1845</v>
      </c>
      <c r="G2039" s="466">
        <v>0.6</v>
      </c>
      <c r="H2039" s="466">
        <v>0.44</v>
      </c>
      <c r="I2039" s="467">
        <v>0.44</v>
      </c>
      <c r="J2039" s="468">
        <v>0</v>
      </c>
    </row>
    <row r="2040" spans="1:10" ht="12.75" outlineLevel="2">
      <c r="A2040" s="645">
        <v>2142138017</v>
      </c>
      <c r="B2040" s="635" t="s">
        <v>965</v>
      </c>
      <c r="C2040" s="635" t="s">
        <v>1777</v>
      </c>
      <c r="D2040" s="635"/>
      <c r="E2040" s="635" t="s">
        <v>1494</v>
      </c>
      <c r="F2040" s="465" t="s">
        <v>1845</v>
      </c>
      <c r="G2040" s="466">
        <v>0.43</v>
      </c>
      <c r="H2040" s="466">
        <v>0.52</v>
      </c>
      <c r="I2040" s="467">
        <v>0.52</v>
      </c>
      <c r="J2040" s="468">
        <v>0</v>
      </c>
    </row>
    <row r="2041" spans="1:10" ht="12.75" outlineLevel="2">
      <c r="A2041" s="645">
        <v>2142138018</v>
      </c>
      <c r="B2041" s="635" t="s">
        <v>966</v>
      </c>
      <c r="C2041" s="635" t="s">
        <v>1777</v>
      </c>
      <c r="D2041" s="635"/>
      <c r="E2041" s="635" t="s">
        <v>1494</v>
      </c>
      <c r="F2041" s="465" t="s">
        <v>1845</v>
      </c>
      <c r="G2041" s="466">
        <v>1.05</v>
      </c>
      <c r="H2041" s="466">
        <v>1.015</v>
      </c>
      <c r="I2041" s="467">
        <v>1.015</v>
      </c>
      <c r="J2041" s="468">
        <v>0</v>
      </c>
    </row>
    <row r="2042" spans="1:10" ht="12.75" outlineLevel="2">
      <c r="A2042" s="645">
        <v>2142138019</v>
      </c>
      <c r="B2042" s="635" t="s">
        <v>967</v>
      </c>
      <c r="C2042" s="635" t="s">
        <v>1777</v>
      </c>
      <c r="D2042" s="635"/>
      <c r="E2042" s="635" t="s">
        <v>1494</v>
      </c>
      <c r="F2042" s="465" t="s">
        <v>1845</v>
      </c>
      <c r="G2042" s="466">
        <v>0.63</v>
      </c>
      <c r="H2042" s="466">
        <v>0.63</v>
      </c>
      <c r="I2042" s="467">
        <v>0.63</v>
      </c>
      <c r="J2042" s="468">
        <v>0</v>
      </c>
    </row>
    <row r="2043" spans="1:10" ht="12.75" outlineLevel="2">
      <c r="A2043" s="645">
        <v>2142138020</v>
      </c>
      <c r="B2043" s="635" t="s">
        <v>968</v>
      </c>
      <c r="C2043" s="635" t="s">
        <v>1777</v>
      </c>
      <c r="D2043" s="635"/>
      <c r="E2043" s="635" t="s">
        <v>1494</v>
      </c>
      <c r="F2043" s="465" t="s">
        <v>1845</v>
      </c>
      <c r="G2043" s="466">
        <v>0.36</v>
      </c>
      <c r="H2043" s="466">
        <v>0.61</v>
      </c>
      <c r="I2043" s="467">
        <v>0.605</v>
      </c>
      <c r="J2043" s="468">
        <v>0.005</v>
      </c>
    </row>
    <row r="2044" spans="1:10" ht="12.75" outlineLevel="2">
      <c r="A2044" s="645">
        <v>2142138021</v>
      </c>
      <c r="B2044" s="635" t="s">
        <v>969</v>
      </c>
      <c r="C2044" s="635" t="s">
        <v>1777</v>
      </c>
      <c r="D2044" s="635"/>
      <c r="E2044" s="635" t="s">
        <v>1494</v>
      </c>
      <c r="F2044" s="465" t="s">
        <v>1845</v>
      </c>
      <c r="G2044" s="466">
        <v>0.8</v>
      </c>
      <c r="H2044" s="466">
        <v>0.8</v>
      </c>
      <c r="I2044" s="467">
        <v>0.799</v>
      </c>
      <c r="J2044" s="468">
        <v>0.001</v>
      </c>
    </row>
    <row r="2045" spans="1:10" ht="12.75" outlineLevel="2">
      <c r="A2045" s="645">
        <v>2142138022</v>
      </c>
      <c r="B2045" s="635" t="s">
        <v>970</v>
      </c>
      <c r="C2045" s="635" t="s">
        <v>1777</v>
      </c>
      <c r="D2045" s="635"/>
      <c r="E2045" s="635" t="s">
        <v>1494</v>
      </c>
      <c r="F2045" s="465" t="s">
        <v>1845</v>
      </c>
      <c r="G2045" s="466">
        <v>0.932</v>
      </c>
      <c r="H2045" s="466">
        <v>1.032</v>
      </c>
      <c r="I2045" s="467">
        <v>1.032</v>
      </c>
      <c r="J2045" s="468">
        <v>0</v>
      </c>
    </row>
    <row r="2046" spans="1:10" ht="12.75" outlineLevel="2">
      <c r="A2046" s="645">
        <v>2142138023</v>
      </c>
      <c r="B2046" s="635" t="s">
        <v>971</v>
      </c>
      <c r="C2046" s="635" t="s">
        <v>1777</v>
      </c>
      <c r="D2046" s="635"/>
      <c r="E2046" s="635" t="s">
        <v>1494</v>
      </c>
      <c r="F2046" s="465" t="s">
        <v>1845</v>
      </c>
      <c r="G2046" s="466">
        <v>0.82</v>
      </c>
      <c r="H2046" s="466">
        <v>0.92</v>
      </c>
      <c r="I2046" s="467">
        <v>0.92</v>
      </c>
      <c r="J2046" s="468">
        <v>0</v>
      </c>
    </row>
    <row r="2047" spans="1:10" ht="12.75" outlineLevel="2">
      <c r="A2047" s="645">
        <v>2142138024</v>
      </c>
      <c r="B2047" s="635" t="s">
        <v>972</v>
      </c>
      <c r="C2047" s="635" t="s">
        <v>1541</v>
      </c>
      <c r="D2047" s="635"/>
      <c r="E2047" s="635" t="s">
        <v>1494</v>
      </c>
      <c r="F2047" s="465" t="s">
        <v>1845</v>
      </c>
      <c r="G2047" s="466">
        <v>0.24</v>
      </c>
      <c r="H2047" s="466">
        <v>0.24</v>
      </c>
      <c r="I2047" s="467">
        <v>0.24</v>
      </c>
      <c r="J2047" s="468">
        <v>0</v>
      </c>
    </row>
    <row r="2048" spans="1:10" ht="12.75" outlineLevel="2">
      <c r="A2048" s="645">
        <v>2142138025</v>
      </c>
      <c r="B2048" s="635" t="s">
        <v>973</v>
      </c>
      <c r="C2048" s="635" t="s">
        <v>1541</v>
      </c>
      <c r="D2048" s="635"/>
      <c r="E2048" s="635" t="s">
        <v>1494</v>
      </c>
      <c r="F2048" s="465" t="s">
        <v>96</v>
      </c>
      <c r="G2048" s="466">
        <v>2.5</v>
      </c>
      <c r="H2048" s="466">
        <v>2.5</v>
      </c>
      <c r="I2048" s="467">
        <v>2.499</v>
      </c>
      <c r="J2048" s="468">
        <v>0.001</v>
      </c>
    </row>
    <row r="2049" spans="1:10" ht="12.75" outlineLevel="2">
      <c r="A2049" s="645">
        <v>2142138026</v>
      </c>
      <c r="B2049" s="635" t="s">
        <v>974</v>
      </c>
      <c r="C2049" s="635" t="s">
        <v>1802</v>
      </c>
      <c r="D2049" s="635"/>
      <c r="E2049" s="635" t="s">
        <v>1533</v>
      </c>
      <c r="F2049" s="465" t="s">
        <v>96</v>
      </c>
      <c r="G2049" s="466">
        <v>70.103</v>
      </c>
      <c r="H2049" s="466">
        <v>0</v>
      </c>
      <c r="I2049" s="467">
        <v>0</v>
      </c>
      <c r="J2049" s="468">
        <v>0</v>
      </c>
    </row>
    <row r="2050" spans="1:10" ht="12.75" outlineLevel="2">
      <c r="A2050" s="645">
        <v>2142138027</v>
      </c>
      <c r="B2050" s="635" t="s">
        <v>1850</v>
      </c>
      <c r="C2050" s="635" t="s">
        <v>1780</v>
      </c>
      <c r="D2050" s="635"/>
      <c r="E2050" s="635" t="s">
        <v>1494</v>
      </c>
      <c r="F2050" s="465" t="s">
        <v>1845</v>
      </c>
      <c r="G2050" s="466">
        <v>10.6</v>
      </c>
      <c r="H2050" s="466">
        <v>10.6</v>
      </c>
      <c r="I2050" s="467">
        <v>10.6</v>
      </c>
      <c r="J2050" s="468">
        <v>0</v>
      </c>
    </row>
    <row r="2051" spans="1:10" ht="12.75" outlineLevel="2">
      <c r="A2051" s="645">
        <v>2142138028</v>
      </c>
      <c r="B2051" s="635" t="s">
        <v>285</v>
      </c>
      <c r="C2051" s="635" t="s">
        <v>1780</v>
      </c>
      <c r="D2051" s="635"/>
      <c r="E2051" s="635" t="s">
        <v>1533</v>
      </c>
      <c r="F2051" s="465" t="s">
        <v>96</v>
      </c>
      <c r="G2051" s="466">
        <v>8</v>
      </c>
      <c r="H2051" s="466">
        <v>0</v>
      </c>
      <c r="I2051" s="467">
        <v>0</v>
      </c>
      <c r="J2051" s="468">
        <v>0</v>
      </c>
    </row>
    <row r="2052" spans="1:10" ht="12.75" outlineLevel="2">
      <c r="A2052" s="645">
        <v>2142138029</v>
      </c>
      <c r="B2052" s="635" t="s">
        <v>975</v>
      </c>
      <c r="C2052" s="635" t="s">
        <v>1780</v>
      </c>
      <c r="D2052" s="635"/>
      <c r="E2052" s="635" t="s">
        <v>1533</v>
      </c>
      <c r="F2052" s="465" t="s">
        <v>96</v>
      </c>
      <c r="G2052" s="466">
        <v>13</v>
      </c>
      <c r="H2052" s="466">
        <v>0</v>
      </c>
      <c r="I2052" s="467">
        <v>0</v>
      </c>
      <c r="J2052" s="468">
        <v>0</v>
      </c>
    </row>
    <row r="2053" spans="1:10" ht="12.75" outlineLevel="2">
      <c r="A2053" s="645">
        <v>2142138030</v>
      </c>
      <c r="B2053" s="635" t="s">
        <v>976</v>
      </c>
      <c r="C2053" s="635" t="s">
        <v>1780</v>
      </c>
      <c r="D2053" s="635"/>
      <c r="E2053" s="635" t="s">
        <v>1494</v>
      </c>
      <c r="F2053" s="465" t="s">
        <v>96</v>
      </c>
      <c r="G2053" s="466">
        <v>1</v>
      </c>
      <c r="H2053" s="466">
        <v>1</v>
      </c>
      <c r="I2053" s="467">
        <v>1</v>
      </c>
      <c r="J2053" s="468">
        <v>0</v>
      </c>
    </row>
    <row r="2054" spans="1:10" ht="12.75" outlineLevel="2">
      <c r="A2054" s="645">
        <v>2142138031</v>
      </c>
      <c r="B2054" s="635" t="s">
        <v>977</v>
      </c>
      <c r="C2054" s="635" t="s">
        <v>1780</v>
      </c>
      <c r="D2054" s="635"/>
      <c r="E2054" s="635" t="s">
        <v>1494</v>
      </c>
      <c r="F2054" s="465" t="s">
        <v>96</v>
      </c>
      <c r="G2054" s="466">
        <v>1.2</v>
      </c>
      <c r="H2054" s="466">
        <v>1.199</v>
      </c>
      <c r="I2054" s="467">
        <v>1.199</v>
      </c>
      <c r="J2054" s="468">
        <v>0</v>
      </c>
    </row>
    <row r="2055" spans="1:10" ht="12.75" outlineLevel="2">
      <c r="A2055" s="645">
        <v>2142138032</v>
      </c>
      <c r="B2055" s="635" t="s">
        <v>1853</v>
      </c>
      <c r="C2055" s="635" t="s">
        <v>1780</v>
      </c>
      <c r="D2055" s="635"/>
      <c r="E2055" s="635" t="s">
        <v>1533</v>
      </c>
      <c r="F2055" s="465" t="s">
        <v>96</v>
      </c>
      <c r="G2055" s="466">
        <v>4.06</v>
      </c>
      <c r="H2055" s="466">
        <v>0</v>
      </c>
      <c r="I2055" s="467">
        <v>0</v>
      </c>
      <c r="J2055" s="468">
        <v>0</v>
      </c>
    </row>
    <row r="2056" spans="1:10" ht="12.75" outlineLevel="2">
      <c r="A2056" s="645">
        <v>2142138033</v>
      </c>
      <c r="B2056" s="635" t="s">
        <v>972</v>
      </c>
      <c r="C2056" s="635" t="s">
        <v>1802</v>
      </c>
      <c r="D2056" s="635"/>
      <c r="E2056" s="635" t="s">
        <v>1494</v>
      </c>
      <c r="F2056" s="465" t="s">
        <v>1845</v>
      </c>
      <c r="G2056" s="466">
        <v>11.21</v>
      </c>
      <c r="H2056" s="466">
        <v>11.21</v>
      </c>
      <c r="I2056" s="467">
        <v>11.208</v>
      </c>
      <c r="J2056" s="468">
        <v>0.002</v>
      </c>
    </row>
    <row r="2057" spans="1:10" ht="12.75" outlineLevel="2">
      <c r="A2057" s="645">
        <v>2142138034</v>
      </c>
      <c r="B2057" s="635" t="s">
        <v>1854</v>
      </c>
      <c r="C2057" s="635" t="s">
        <v>1802</v>
      </c>
      <c r="D2057" s="635"/>
      <c r="E2057" s="635" t="s">
        <v>1533</v>
      </c>
      <c r="F2057" s="465" t="s">
        <v>96</v>
      </c>
      <c r="G2057" s="466">
        <v>16</v>
      </c>
      <c r="H2057" s="466">
        <v>0</v>
      </c>
      <c r="I2057" s="467">
        <v>0</v>
      </c>
      <c r="J2057" s="468">
        <v>0</v>
      </c>
    </row>
    <row r="2058" spans="1:10" ht="12.75" outlineLevel="2">
      <c r="A2058" s="645">
        <v>2142138035</v>
      </c>
      <c r="B2058" s="635" t="s">
        <v>1855</v>
      </c>
      <c r="C2058" s="635" t="s">
        <v>1802</v>
      </c>
      <c r="D2058" s="635"/>
      <c r="E2058" s="635" t="s">
        <v>1494</v>
      </c>
      <c r="F2058" s="465" t="s">
        <v>96</v>
      </c>
      <c r="G2058" s="466">
        <v>7.2</v>
      </c>
      <c r="H2058" s="466">
        <v>7.202</v>
      </c>
      <c r="I2058" s="467">
        <v>7.201</v>
      </c>
      <c r="J2058" s="468">
        <v>0.001</v>
      </c>
    </row>
    <row r="2059" spans="1:10" ht="12.75" outlineLevel="2">
      <c r="A2059" s="645">
        <v>2142138036</v>
      </c>
      <c r="B2059" s="635" t="s">
        <v>1856</v>
      </c>
      <c r="C2059" s="635" t="s">
        <v>1802</v>
      </c>
      <c r="D2059" s="635"/>
      <c r="E2059" s="635" t="s">
        <v>1533</v>
      </c>
      <c r="F2059" s="465" t="s">
        <v>96</v>
      </c>
      <c r="G2059" s="466">
        <v>2.9</v>
      </c>
      <c r="H2059" s="466">
        <v>0</v>
      </c>
      <c r="I2059" s="467">
        <v>0</v>
      </c>
      <c r="J2059" s="468">
        <v>0</v>
      </c>
    </row>
    <row r="2060" spans="1:10" ht="12.75" outlineLevel="2">
      <c r="A2060" s="645">
        <v>2142138037</v>
      </c>
      <c r="B2060" s="635" t="s">
        <v>1857</v>
      </c>
      <c r="C2060" s="635" t="s">
        <v>1802</v>
      </c>
      <c r="D2060" s="635"/>
      <c r="E2060" s="635" t="s">
        <v>1494</v>
      </c>
      <c r="F2060" s="465" t="s">
        <v>96</v>
      </c>
      <c r="G2060" s="466">
        <v>1.2</v>
      </c>
      <c r="H2060" s="466">
        <v>0.367</v>
      </c>
      <c r="I2060" s="467">
        <v>0.367</v>
      </c>
      <c r="J2060" s="468">
        <v>0</v>
      </c>
    </row>
    <row r="2061" spans="1:10" ht="12.75" outlineLevel="2">
      <c r="A2061" s="645">
        <v>2142138038</v>
      </c>
      <c r="B2061" s="635" t="s">
        <v>1858</v>
      </c>
      <c r="C2061" s="635" t="s">
        <v>1802</v>
      </c>
      <c r="D2061" s="635"/>
      <c r="E2061" s="635" t="s">
        <v>1494</v>
      </c>
      <c r="F2061" s="465" t="s">
        <v>96</v>
      </c>
      <c r="G2061" s="466">
        <v>0.67</v>
      </c>
      <c r="H2061" s="466">
        <v>0.978</v>
      </c>
      <c r="I2061" s="467">
        <v>0.977</v>
      </c>
      <c r="J2061" s="468">
        <v>0.001</v>
      </c>
    </row>
    <row r="2062" spans="1:10" ht="12.75" outlineLevel="2">
      <c r="A2062" s="645">
        <v>2142138039</v>
      </c>
      <c r="B2062" s="635" t="s">
        <v>1859</v>
      </c>
      <c r="C2062" s="635" t="s">
        <v>1782</v>
      </c>
      <c r="D2062" s="635"/>
      <c r="E2062" s="635" t="s">
        <v>1494</v>
      </c>
      <c r="F2062" s="465" t="s">
        <v>96</v>
      </c>
      <c r="G2062" s="466">
        <v>8.5</v>
      </c>
      <c r="H2062" s="466">
        <v>8.467</v>
      </c>
      <c r="I2062" s="467">
        <v>8.466</v>
      </c>
      <c r="J2062" s="468">
        <v>0.001</v>
      </c>
    </row>
    <row r="2063" spans="1:10" ht="12.75" outlineLevel="2">
      <c r="A2063" s="645">
        <v>2142138040</v>
      </c>
      <c r="B2063" s="635" t="s">
        <v>1860</v>
      </c>
      <c r="C2063" s="635" t="s">
        <v>1782</v>
      </c>
      <c r="D2063" s="635"/>
      <c r="E2063" s="635" t="s">
        <v>1494</v>
      </c>
      <c r="F2063" s="465" t="s">
        <v>96</v>
      </c>
      <c r="G2063" s="466">
        <v>3.5</v>
      </c>
      <c r="H2063" s="466">
        <v>3.499</v>
      </c>
      <c r="I2063" s="467">
        <v>3.498</v>
      </c>
      <c r="J2063" s="468">
        <v>0.001</v>
      </c>
    </row>
    <row r="2064" spans="1:10" ht="12.75" outlineLevel="2">
      <c r="A2064" s="645">
        <v>2142138041</v>
      </c>
      <c r="B2064" s="635" t="s">
        <v>1861</v>
      </c>
      <c r="C2064" s="635" t="s">
        <v>1782</v>
      </c>
      <c r="D2064" s="635"/>
      <c r="E2064" s="635" t="s">
        <v>1494</v>
      </c>
      <c r="F2064" s="465" t="s">
        <v>96</v>
      </c>
      <c r="G2064" s="466">
        <v>4.6</v>
      </c>
      <c r="H2064" s="466">
        <v>4.602</v>
      </c>
      <c r="I2064" s="467">
        <v>4.602</v>
      </c>
      <c r="J2064" s="468">
        <v>0</v>
      </c>
    </row>
    <row r="2065" spans="1:10" ht="12.75" outlineLevel="2">
      <c r="A2065" s="645">
        <v>2142138042</v>
      </c>
      <c r="B2065" s="635" t="s">
        <v>1862</v>
      </c>
      <c r="C2065" s="635" t="s">
        <v>1782</v>
      </c>
      <c r="D2065" s="635"/>
      <c r="E2065" s="635" t="s">
        <v>1494</v>
      </c>
      <c r="F2065" s="465" t="s">
        <v>96</v>
      </c>
      <c r="G2065" s="466">
        <v>0.35</v>
      </c>
      <c r="H2065" s="466">
        <v>0.317</v>
      </c>
      <c r="I2065" s="467">
        <v>0.317</v>
      </c>
      <c r="J2065" s="468">
        <v>0</v>
      </c>
    </row>
    <row r="2066" spans="1:10" ht="12.75" outlineLevel="2">
      <c r="A2066" s="645">
        <v>2142138043</v>
      </c>
      <c r="B2066" s="635" t="s">
        <v>778</v>
      </c>
      <c r="C2066" s="635" t="s">
        <v>1782</v>
      </c>
      <c r="D2066" s="635"/>
      <c r="E2066" s="635" t="s">
        <v>1533</v>
      </c>
      <c r="F2066" s="465" t="s">
        <v>96</v>
      </c>
      <c r="G2066" s="466">
        <v>0.63</v>
      </c>
      <c r="H2066" s="466">
        <v>0</v>
      </c>
      <c r="I2066" s="467">
        <v>0</v>
      </c>
      <c r="J2066" s="468">
        <v>0</v>
      </c>
    </row>
    <row r="2067" spans="1:10" ht="12.75" outlineLevel="2">
      <c r="A2067" s="645">
        <v>2142138044</v>
      </c>
      <c r="B2067" s="635" t="s">
        <v>1863</v>
      </c>
      <c r="C2067" s="635" t="s">
        <v>1782</v>
      </c>
      <c r="D2067" s="635"/>
      <c r="E2067" s="635" t="s">
        <v>1494</v>
      </c>
      <c r="F2067" s="465" t="s">
        <v>96</v>
      </c>
      <c r="G2067" s="466">
        <v>0.325</v>
      </c>
      <c r="H2067" s="466">
        <v>0.955</v>
      </c>
      <c r="I2067" s="467">
        <v>0.955</v>
      </c>
      <c r="J2067" s="468">
        <v>0</v>
      </c>
    </row>
    <row r="2068" spans="1:10" ht="12.75" outlineLevel="2">
      <c r="A2068" s="645">
        <v>2142138045</v>
      </c>
      <c r="B2068" s="635" t="s">
        <v>1864</v>
      </c>
      <c r="C2068" s="635" t="s">
        <v>1782</v>
      </c>
      <c r="D2068" s="635"/>
      <c r="E2068" s="635" t="s">
        <v>1494</v>
      </c>
      <c r="F2068" s="465" t="s">
        <v>96</v>
      </c>
      <c r="G2068" s="466">
        <v>0.23</v>
      </c>
      <c r="H2068" s="466">
        <v>0.225</v>
      </c>
      <c r="I2068" s="467">
        <v>0.225</v>
      </c>
      <c r="J2068" s="468">
        <v>0</v>
      </c>
    </row>
    <row r="2069" spans="1:10" ht="12.75" outlineLevel="2">
      <c r="A2069" s="645">
        <v>2142138046</v>
      </c>
      <c r="B2069" s="635" t="s">
        <v>1865</v>
      </c>
      <c r="C2069" s="635" t="s">
        <v>1782</v>
      </c>
      <c r="D2069" s="635"/>
      <c r="E2069" s="635" t="s">
        <v>1533</v>
      </c>
      <c r="F2069" s="465" t="s">
        <v>96</v>
      </c>
      <c r="G2069" s="466">
        <v>0.14</v>
      </c>
      <c r="H2069" s="466">
        <v>0</v>
      </c>
      <c r="I2069" s="467">
        <v>0</v>
      </c>
      <c r="J2069" s="468">
        <v>0</v>
      </c>
    </row>
    <row r="2070" spans="1:10" ht="12.75" outlineLevel="2">
      <c r="A2070" s="645">
        <v>2142138047</v>
      </c>
      <c r="B2070" s="635" t="s">
        <v>1866</v>
      </c>
      <c r="C2070" s="635" t="s">
        <v>1782</v>
      </c>
      <c r="D2070" s="635"/>
      <c r="E2070" s="635" t="s">
        <v>1494</v>
      </c>
      <c r="F2070" s="465" t="s">
        <v>96</v>
      </c>
      <c r="G2070" s="466">
        <v>0.08</v>
      </c>
      <c r="H2070" s="466">
        <v>0.055</v>
      </c>
      <c r="I2070" s="467">
        <v>0.055</v>
      </c>
      <c r="J2070" s="468">
        <v>0</v>
      </c>
    </row>
    <row r="2071" spans="1:10" ht="12.75" outlineLevel="2">
      <c r="A2071" s="645">
        <v>2142138048</v>
      </c>
      <c r="B2071" s="635" t="s">
        <v>972</v>
      </c>
      <c r="C2071" s="635" t="s">
        <v>1782</v>
      </c>
      <c r="D2071" s="635"/>
      <c r="E2071" s="635" t="s">
        <v>1494</v>
      </c>
      <c r="F2071" s="465" t="s">
        <v>1845</v>
      </c>
      <c r="G2071" s="466">
        <v>8.6</v>
      </c>
      <c r="H2071" s="466">
        <v>7.62</v>
      </c>
      <c r="I2071" s="467">
        <v>7.62</v>
      </c>
      <c r="J2071" s="468">
        <v>0</v>
      </c>
    </row>
    <row r="2072" spans="1:10" ht="12.75" outlineLevel="2">
      <c r="A2072" s="645">
        <v>2142138048</v>
      </c>
      <c r="B2072" s="635" t="s">
        <v>972</v>
      </c>
      <c r="C2072" s="635" t="s">
        <v>1782</v>
      </c>
      <c r="D2072" s="635"/>
      <c r="E2072" s="635" t="s">
        <v>1494</v>
      </c>
      <c r="F2072" s="465" t="s">
        <v>332</v>
      </c>
      <c r="G2072" s="466">
        <v>0</v>
      </c>
      <c r="H2072" s="466">
        <v>0</v>
      </c>
      <c r="I2072" s="467">
        <v>0.014</v>
      </c>
      <c r="J2072" s="468">
        <v>0</v>
      </c>
    </row>
    <row r="2073" spans="1:10" ht="12.75" outlineLevel="2">
      <c r="A2073" s="645">
        <v>2142138049</v>
      </c>
      <c r="B2073" s="635" t="s">
        <v>1867</v>
      </c>
      <c r="C2073" s="635" t="s">
        <v>1800</v>
      </c>
      <c r="D2073" s="635"/>
      <c r="E2073" s="635" t="s">
        <v>1494</v>
      </c>
      <c r="F2073" s="465" t="s">
        <v>96</v>
      </c>
      <c r="G2073" s="466">
        <v>7.8</v>
      </c>
      <c r="H2073" s="466">
        <v>6.056</v>
      </c>
      <c r="I2073" s="467">
        <v>6.055</v>
      </c>
      <c r="J2073" s="468">
        <v>0.001</v>
      </c>
    </row>
    <row r="2074" spans="1:10" ht="12.75" outlineLevel="2">
      <c r="A2074" s="645">
        <v>2142138050</v>
      </c>
      <c r="B2074" s="635" t="s">
        <v>1868</v>
      </c>
      <c r="C2074" s="635" t="s">
        <v>1800</v>
      </c>
      <c r="D2074" s="635"/>
      <c r="E2074" s="635" t="s">
        <v>1494</v>
      </c>
      <c r="F2074" s="465" t="s">
        <v>96</v>
      </c>
      <c r="G2074" s="466">
        <v>7.29</v>
      </c>
      <c r="H2074" s="466">
        <v>7.291</v>
      </c>
      <c r="I2074" s="467">
        <v>7.291</v>
      </c>
      <c r="J2074" s="468">
        <v>0</v>
      </c>
    </row>
    <row r="2075" spans="1:10" ht="12.75" outlineLevel="2">
      <c r="A2075" s="645">
        <v>2142138051</v>
      </c>
      <c r="B2075" s="635" t="s">
        <v>1869</v>
      </c>
      <c r="C2075" s="635" t="s">
        <v>1800</v>
      </c>
      <c r="D2075" s="635"/>
      <c r="E2075" s="635" t="s">
        <v>1494</v>
      </c>
      <c r="F2075" s="465" t="s">
        <v>96</v>
      </c>
      <c r="G2075" s="466">
        <v>4</v>
      </c>
      <c r="H2075" s="466">
        <v>0</v>
      </c>
      <c r="I2075" s="467">
        <v>0</v>
      </c>
      <c r="J2075" s="468">
        <v>0</v>
      </c>
    </row>
    <row r="2076" spans="1:10" ht="12.75" outlineLevel="2">
      <c r="A2076" s="645">
        <v>2142138052</v>
      </c>
      <c r="B2076" s="635" t="s">
        <v>1870</v>
      </c>
      <c r="C2076" s="635" t="s">
        <v>1800</v>
      </c>
      <c r="D2076" s="635"/>
      <c r="E2076" s="635" t="s">
        <v>1494</v>
      </c>
      <c r="F2076" s="465" t="s">
        <v>96</v>
      </c>
      <c r="G2076" s="466">
        <v>0.27</v>
      </c>
      <c r="H2076" s="466">
        <v>0.129</v>
      </c>
      <c r="I2076" s="467">
        <v>0.129</v>
      </c>
      <c r="J2076" s="468">
        <v>0</v>
      </c>
    </row>
    <row r="2077" spans="1:10" ht="12.75" outlineLevel="2">
      <c r="A2077" s="645">
        <v>2142138053</v>
      </c>
      <c r="B2077" s="635" t="s">
        <v>1871</v>
      </c>
      <c r="C2077" s="635" t="s">
        <v>1800</v>
      </c>
      <c r="D2077" s="635"/>
      <c r="E2077" s="635" t="s">
        <v>1494</v>
      </c>
      <c r="F2077" s="465" t="s">
        <v>96</v>
      </c>
      <c r="G2077" s="466">
        <v>0.7</v>
      </c>
      <c r="H2077" s="466">
        <v>0.631</v>
      </c>
      <c r="I2077" s="467">
        <v>0.63</v>
      </c>
      <c r="J2077" s="468">
        <v>0.001</v>
      </c>
    </row>
    <row r="2078" spans="1:10" ht="12.75" outlineLevel="2">
      <c r="A2078" s="645">
        <v>2142138054</v>
      </c>
      <c r="B2078" s="635" t="s">
        <v>1872</v>
      </c>
      <c r="C2078" s="635" t="s">
        <v>1800</v>
      </c>
      <c r="D2078" s="635"/>
      <c r="E2078" s="635" t="s">
        <v>1494</v>
      </c>
      <c r="F2078" s="465" t="s">
        <v>96</v>
      </c>
      <c r="G2078" s="466">
        <v>0.68</v>
      </c>
      <c r="H2078" s="466">
        <v>0.602</v>
      </c>
      <c r="I2078" s="467">
        <v>0.601</v>
      </c>
      <c r="J2078" s="468">
        <v>0.001</v>
      </c>
    </row>
    <row r="2079" spans="1:10" ht="12.75" outlineLevel="2">
      <c r="A2079" s="645">
        <v>2142138055</v>
      </c>
      <c r="B2079" s="635" t="s">
        <v>972</v>
      </c>
      <c r="C2079" s="635" t="s">
        <v>1800</v>
      </c>
      <c r="D2079" s="635"/>
      <c r="E2079" s="635" t="s">
        <v>1494</v>
      </c>
      <c r="F2079" s="465" t="s">
        <v>1845</v>
      </c>
      <c r="G2079" s="466">
        <v>6</v>
      </c>
      <c r="H2079" s="466">
        <v>6</v>
      </c>
      <c r="I2079" s="467">
        <v>6</v>
      </c>
      <c r="J2079" s="468">
        <v>0</v>
      </c>
    </row>
    <row r="2080" spans="1:10" ht="12.75" outlineLevel="2">
      <c r="A2080" s="645">
        <v>2142138056</v>
      </c>
      <c r="B2080" s="635" t="s">
        <v>1873</v>
      </c>
      <c r="C2080" s="635" t="s">
        <v>1786</v>
      </c>
      <c r="D2080" s="635"/>
      <c r="E2080" s="635" t="s">
        <v>1494</v>
      </c>
      <c r="F2080" s="465" t="s">
        <v>96</v>
      </c>
      <c r="G2080" s="466">
        <v>4.8</v>
      </c>
      <c r="H2080" s="466">
        <v>4.632</v>
      </c>
      <c r="I2080" s="467">
        <v>4.631</v>
      </c>
      <c r="J2080" s="468">
        <v>0.001</v>
      </c>
    </row>
    <row r="2081" spans="1:10" ht="12.75" outlineLevel="2">
      <c r="A2081" s="645">
        <v>2142138057</v>
      </c>
      <c r="B2081" s="635" t="s">
        <v>1874</v>
      </c>
      <c r="C2081" s="635" t="s">
        <v>1786</v>
      </c>
      <c r="D2081" s="635"/>
      <c r="E2081" s="635" t="s">
        <v>1494</v>
      </c>
      <c r="F2081" s="465" t="s">
        <v>96</v>
      </c>
      <c r="G2081" s="466">
        <v>1.75</v>
      </c>
      <c r="H2081" s="466">
        <v>1.749</v>
      </c>
      <c r="I2081" s="467">
        <v>1.748</v>
      </c>
      <c r="J2081" s="468">
        <v>0.001</v>
      </c>
    </row>
    <row r="2082" spans="1:10" ht="12.75" outlineLevel="2">
      <c r="A2082" s="645">
        <v>2142138058</v>
      </c>
      <c r="B2082" s="635" t="s">
        <v>1875</v>
      </c>
      <c r="C2082" s="635" t="s">
        <v>1786</v>
      </c>
      <c r="D2082" s="635"/>
      <c r="E2082" s="635" t="s">
        <v>1494</v>
      </c>
      <c r="F2082" s="465" t="s">
        <v>96</v>
      </c>
      <c r="G2082" s="466">
        <v>0.06</v>
      </c>
      <c r="H2082" s="466">
        <v>0.059</v>
      </c>
      <c r="I2082" s="467">
        <v>0.058</v>
      </c>
      <c r="J2082" s="468">
        <v>0.001</v>
      </c>
    </row>
    <row r="2083" spans="1:10" ht="12.75" outlineLevel="2">
      <c r="A2083" s="645">
        <v>2142138059</v>
      </c>
      <c r="B2083" s="635" t="s">
        <v>1876</v>
      </c>
      <c r="C2083" s="635" t="s">
        <v>1786</v>
      </c>
      <c r="D2083" s="635"/>
      <c r="E2083" s="635" t="s">
        <v>1533</v>
      </c>
      <c r="F2083" s="465" t="s">
        <v>96</v>
      </c>
      <c r="G2083" s="466">
        <v>0.11</v>
      </c>
      <c r="H2083" s="466">
        <v>0</v>
      </c>
      <c r="I2083" s="467">
        <v>0</v>
      </c>
      <c r="J2083" s="468">
        <v>0</v>
      </c>
    </row>
    <row r="2084" spans="1:10" ht="12.75" outlineLevel="2">
      <c r="A2084" s="645">
        <v>2142138060</v>
      </c>
      <c r="B2084" s="635" t="s">
        <v>1877</v>
      </c>
      <c r="C2084" s="635" t="s">
        <v>1786</v>
      </c>
      <c r="D2084" s="635"/>
      <c r="E2084" s="635" t="s">
        <v>1533</v>
      </c>
      <c r="F2084" s="465" t="s">
        <v>96</v>
      </c>
      <c r="G2084" s="466">
        <v>0.07</v>
      </c>
      <c r="H2084" s="466">
        <v>0</v>
      </c>
      <c r="I2084" s="467">
        <v>0</v>
      </c>
      <c r="J2084" s="468">
        <v>0</v>
      </c>
    </row>
    <row r="2085" spans="1:10" ht="12.75" outlineLevel="2">
      <c r="A2085" s="645">
        <v>2142138061</v>
      </c>
      <c r="B2085" s="635" t="s">
        <v>1878</v>
      </c>
      <c r="C2085" s="635" t="s">
        <v>1786</v>
      </c>
      <c r="D2085" s="635"/>
      <c r="E2085" s="635" t="s">
        <v>1533</v>
      </c>
      <c r="F2085" s="465" t="s">
        <v>96</v>
      </c>
      <c r="G2085" s="466">
        <v>0.08</v>
      </c>
      <c r="H2085" s="466">
        <v>0</v>
      </c>
      <c r="I2085" s="467">
        <v>0</v>
      </c>
      <c r="J2085" s="468">
        <v>0</v>
      </c>
    </row>
    <row r="2086" spans="1:10" ht="12.75" outlineLevel="2">
      <c r="A2086" s="645">
        <v>2142138062</v>
      </c>
      <c r="B2086" s="635" t="s">
        <v>1879</v>
      </c>
      <c r="C2086" s="635" t="s">
        <v>1786</v>
      </c>
      <c r="D2086" s="635"/>
      <c r="E2086" s="635" t="s">
        <v>1494</v>
      </c>
      <c r="F2086" s="465" t="s">
        <v>96</v>
      </c>
      <c r="G2086" s="466">
        <v>0.2</v>
      </c>
      <c r="H2086" s="466">
        <v>0.188</v>
      </c>
      <c r="I2086" s="467">
        <v>0.188</v>
      </c>
      <c r="J2086" s="468">
        <v>0</v>
      </c>
    </row>
    <row r="2087" spans="1:10" ht="12.75" outlineLevel="2">
      <c r="A2087" s="645">
        <v>2142138063</v>
      </c>
      <c r="B2087" s="635" t="s">
        <v>1880</v>
      </c>
      <c r="C2087" s="635" t="s">
        <v>1786</v>
      </c>
      <c r="D2087" s="635"/>
      <c r="E2087" s="635" t="s">
        <v>1494</v>
      </c>
      <c r="F2087" s="465" t="s">
        <v>96</v>
      </c>
      <c r="G2087" s="466">
        <v>0.2</v>
      </c>
      <c r="H2087" s="466">
        <v>0.189</v>
      </c>
      <c r="I2087" s="467">
        <v>0.188</v>
      </c>
      <c r="J2087" s="468">
        <v>0.001</v>
      </c>
    </row>
    <row r="2088" spans="1:10" ht="12.75" outlineLevel="2">
      <c r="A2088" s="645">
        <v>2142138064</v>
      </c>
      <c r="B2088" s="635" t="s">
        <v>1881</v>
      </c>
      <c r="C2088" s="635" t="s">
        <v>1786</v>
      </c>
      <c r="D2088" s="635"/>
      <c r="E2088" s="635" t="s">
        <v>1494</v>
      </c>
      <c r="F2088" s="465" t="s">
        <v>96</v>
      </c>
      <c r="G2088" s="466">
        <v>0.2</v>
      </c>
      <c r="H2088" s="466">
        <v>0.11</v>
      </c>
      <c r="I2088" s="467">
        <v>0.11</v>
      </c>
      <c r="J2088" s="468">
        <v>0</v>
      </c>
    </row>
    <row r="2089" spans="1:10" ht="12.75" outlineLevel="2">
      <c r="A2089" s="645">
        <v>2142138065</v>
      </c>
      <c r="B2089" s="635" t="s">
        <v>972</v>
      </c>
      <c r="C2089" s="635" t="s">
        <v>1786</v>
      </c>
      <c r="D2089" s="635"/>
      <c r="E2089" s="635" t="s">
        <v>1494</v>
      </c>
      <c r="F2089" s="465" t="s">
        <v>1845</v>
      </c>
      <c r="G2089" s="466">
        <v>2.996</v>
      </c>
      <c r="H2089" s="466">
        <v>2.496</v>
      </c>
      <c r="I2089" s="467">
        <v>2.495</v>
      </c>
      <c r="J2089" s="468">
        <v>0.001</v>
      </c>
    </row>
    <row r="2090" spans="1:10" ht="12.75" outlineLevel="2">
      <c r="A2090" s="645">
        <v>2142138066</v>
      </c>
      <c r="B2090" s="635" t="s">
        <v>1882</v>
      </c>
      <c r="C2090" s="635" t="s">
        <v>1804</v>
      </c>
      <c r="D2090" s="635"/>
      <c r="E2090" s="635" t="s">
        <v>1494</v>
      </c>
      <c r="F2090" s="465" t="s">
        <v>96</v>
      </c>
      <c r="G2090" s="466">
        <v>1.82</v>
      </c>
      <c r="H2090" s="466">
        <v>0.939</v>
      </c>
      <c r="I2090" s="467">
        <v>0.939</v>
      </c>
      <c r="J2090" s="468">
        <v>0</v>
      </c>
    </row>
    <row r="2091" spans="1:10" ht="12.75" outlineLevel="2">
      <c r="A2091" s="645">
        <v>2142138067</v>
      </c>
      <c r="B2091" s="635" t="s">
        <v>1883</v>
      </c>
      <c r="C2091" s="635" t="s">
        <v>1804</v>
      </c>
      <c r="D2091" s="635"/>
      <c r="E2091" s="635" t="s">
        <v>1494</v>
      </c>
      <c r="F2091" s="465" t="s">
        <v>96</v>
      </c>
      <c r="G2091" s="466">
        <v>0.15</v>
      </c>
      <c r="H2091" s="466">
        <v>0.143</v>
      </c>
      <c r="I2091" s="467">
        <v>0.142</v>
      </c>
      <c r="J2091" s="468">
        <v>0.001</v>
      </c>
    </row>
    <row r="2092" spans="1:10" ht="12.75" outlineLevel="2">
      <c r="A2092" s="645">
        <v>2142138068</v>
      </c>
      <c r="B2092" s="635" t="s">
        <v>1884</v>
      </c>
      <c r="C2092" s="635" t="s">
        <v>1804</v>
      </c>
      <c r="D2092" s="635"/>
      <c r="E2092" s="635" t="s">
        <v>1494</v>
      </c>
      <c r="F2092" s="465" t="s">
        <v>96</v>
      </c>
      <c r="G2092" s="466">
        <v>0.08</v>
      </c>
      <c r="H2092" s="466">
        <v>0.07</v>
      </c>
      <c r="I2092" s="467">
        <v>0.07</v>
      </c>
      <c r="J2092" s="468">
        <v>0</v>
      </c>
    </row>
    <row r="2093" spans="1:10" ht="12.75" outlineLevel="2">
      <c r="A2093" s="645">
        <v>2142138069</v>
      </c>
      <c r="B2093" s="635" t="s">
        <v>1885</v>
      </c>
      <c r="C2093" s="635" t="s">
        <v>1804</v>
      </c>
      <c r="D2093" s="635"/>
      <c r="E2093" s="635" t="s">
        <v>1494</v>
      </c>
      <c r="F2093" s="465" t="s">
        <v>96</v>
      </c>
      <c r="G2093" s="466">
        <v>0.8</v>
      </c>
      <c r="H2093" s="466">
        <v>0.769</v>
      </c>
      <c r="I2093" s="467">
        <v>0.769</v>
      </c>
      <c r="J2093" s="468">
        <v>0</v>
      </c>
    </row>
    <row r="2094" spans="1:10" ht="12.75" outlineLevel="2">
      <c r="A2094" s="645">
        <v>2142138070</v>
      </c>
      <c r="B2094" s="635" t="s">
        <v>1886</v>
      </c>
      <c r="C2094" s="635" t="s">
        <v>1804</v>
      </c>
      <c r="D2094" s="635"/>
      <c r="E2094" s="635" t="s">
        <v>1494</v>
      </c>
      <c r="F2094" s="465" t="s">
        <v>96</v>
      </c>
      <c r="G2094" s="466">
        <v>0.15</v>
      </c>
      <c r="H2094" s="466">
        <v>0.148</v>
      </c>
      <c r="I2094" s="467">
        <v>0.148</v>
      </c>
      <c r="J2094" s="468">
        <v>0</v>
      </c>
    </row>
    <row r="2095" spans="1:10" ht="12.75" outlineLevel="2">
      <c r="A2095" s="645">
        <v>2142138071</v>
      </c>
      <c r="B2095" s="635" t="s">
        <v>1887</v>
      </c>
      <c r="C2095" s="635" t="s">
        <v>1804</v>
      </c>
      <c r="D2095" s="635"/>
      <c r="E2095" s="635" t="s">
        <v>1494</v>
      </c>
      <c r="F2095" s="465" t="s">
        <v>96</v>
      </c>
      <c r="G2095" s="466">
        <v>0.07</v>
      </c>
      <c r="H2095" s="466">
        <v>0.064</v>
      </c>
      <c r="I2095" s="467">
        <v>0.064</v>
      </c>
      <c r="J2095" s="468">
        <v>0</v>
      </c>
    </row>
    <row r="2096" spans="1:10" ht="12.75" outlineLevel="2">
      <c r="A2096" s="645">
        <v>2142138072</v>
      </c>
      <c r="B2096" s="635" t="s">
        <v>1888</v>
      </c>
      <c r="C2096" s="635" t="s">
        <v>1804</v>
      </c>
      <c r="D2096" s="635"/>
      <c r="E2096" s="635" t="s">
        <v>1494</v>
      </c>
      <c r="F2096" s="465" t="s">
        <v>96</v>
      </c>
      <c r="G2096" s="466">
        <v>2.6</v>
      </c>
      <c r="H2096" s="466">
        <v>2.5</v>
      </c>
      <c r="I2096" s="467">
        <v>2.499</v>
      </c>
      <c r="J2096" s="468">
        <v>0.001</v>
      </c>
    </row>
    <row r="2097" spans="1:10" ht="12.75" outlineLevel="2">
      <c r="A2097" s="645">
        <v>2142138073</v>
      </c>
      <c r="B2097" s="635" t="s">
        <v>1889</v>
      </c>
      <c r="C2097" s="635" t="s">
        <v>1804</v>
      </c>
      <c r="D2097" s="635"/>
      <c r="E2097" s="635" t="s">
        <v>1494</v>
      </c>
      <c r="F2097" s="465" t="s">
        <v>96</v>
      </c>
      <c r="G2097" s="466">
        <v>0.4</v>
      </c>
      <c r="H2097" s="466">
        <v>0.358</v>
      </c>
      <c r="I2097" s="467">
        <v>0.358</v>
      </c>
      <c r="J2097" s="468">
        <v>0</v>
      </c>
    </row>
    <row r="2098" spans="1:10" ht="12.75" outlineLevel="2">
      <c r="A2098" s="645">
        <v>2142138074</v>
      </c>
      <c r="B2098" s="635" t="s">
        <v>1890</v>
      </c>
      <c r="C2098" s="635" t="s">
        <v>1804</v>
      </c>
      <c r="D2098" s="635"/>
      <c r="E2098" s="635" t="s">
        <v>1494</v>
      </c>
      <c r="F2098" s="465" t="s">
        <v>96</v>
      </c>
      <c r="G2098" s="466">
        <v>0.5</v>
      </c>
      <c r="H2098" s="466">
        <v>0.499</v>
      </c>
      <c r="I2098" s="467">
        <v>0.499</v>
      </c>
      <c r="J2098" s="468">
        <v>0</v>
      </c>
    </row>
    <row r="2099" spans="1:10" ht="12.75" outlineLevel="2">
      <c r="A2099" s="645">
        <v>2142138075</v>
      </c>
      <c r="B2099" s="635" t="s">
        <v>1891</v>
      </c>
      <c r="C2099" s="635" t="s">
        <v>1804</v>
      </c>
      <c r="D2099" s="635"/>
      <c r="E2099" s="635" t="s">
        <v>1494</v>
      </c>
      <c r="F2099" s="465" t="s">
        <v>96</v>
      </c>
      <c r="G2099" s="466">
        <v>1.1</v>
      </c>
      <c r="H2099" s="466">
        <v>1.1</v>
      </c>
      <c r="I2099" s="467">
        <v>1.099</v>
      </c>
      <c r="J2099" s="468">
        <v>0.001</v>
      </c>
    </row>
    <row r="2100" spans="1:10" ht="12.75" outlineLevel="2">
      <c r="A2100" s="645">
        <v>2142138076</v>
      </c>
      <c r="B2100" s="635" t="s">
        <v>1892</v>
      </c>
      <c r="C2100" s="635" t="s">
        <v>1804</v>
      </c>
      <c r="D2100" s="635"/>
      <c r="E2100" s="635" t="s">
        <v>1494</v>
      </c>
      <c r="F2100" s="465" t="s">
        <v>96</v>
      </c>
      <c r="G2100" s="466">
        <v>2</v>
      </c>
      <c r="H2100" s="466">
        <v>2.87</v>
      </c>
      <c r="I2100" s="467">
        <v>2.87</v>
      </c>
      <c r="J2100" s="468">
        <v>0</v>
      </c>
    </row>
    <row r="2101" spans="1:10" ht="12.75" outlineLevel="2">
      <c r="A2101" s="645">
        <v>2142138077</v>
      </c>
      <c r="B2101" s="635" t="s">
        <v>1893</v>
      </c>
      <c r="C2101" s="635" t="s">
        <v>1804</v>
      </c>
      <c r="D2101" s="635"/>
      <c r="E2101" s="635" t="s">
        <v>1494</v>
      </c>
      <c r="F2101" s="465" t="s">
        <v>96</v>
      </c>
      <c r="G2101" s="466">
        <v>1.6</v>
      </c>
      <c r="H2101" s="466">
        <v>1.372</v>
      </c>
      <c r="I2101" s="467">
        <v>1.372</v>
      </c>
      <c r="J2101" s="468">
        <v>0</v>
      </c>
    </row>
    <row r="2102" spans="1:10" ht="12.75" outlineLevel="2">
      <c r="A2102" s="645">
        <v>2142138078</v>
      </c>
      <c r="B2102" s="635" t="s">
        <v>1894</v>
      </c>
      <c r="C2102" s="635" t="s">
        <v>1804</v>
      </c>
      <c r="D2102" s="635"/>
      <c r="E2102" s="635" t="s">
        <v>1494</v>
      </c>
      <c r="F2102" s="465" t="s">
        <v>96</v>
      </c>
      <c r="G2102" s="466">
        <v>0.07</v>
      </c>
      <c r="H2102" s="466">
        <v>0.07</v>
      </c>
      <c r="I2102" s="467">
        <v>0.069</v>
      </c>
      <c r="J2102" s="468">
        <v>0.001</v>
      </c>
    </row>
    <row r="2103" spans="1:10" ht="12.75" outlineLevel="2">
      <c r="A2103" s="645">
        <v>2142138079</v>
      </c>
      <c r="B2103" s="635" t="s">
        <v>1895</v>
      </c>
      <c r="C2103" s="635" t="s">
        <v>1804</v>
      </c>
      <c r="D2103" s="635"/>
      <c r="E2103" s="635" t="s">
        <v>1494</v>
      </c>
      <c r="F2103" s="465" t="s">
        <v>1845</v>
      </c>
      <c r="G2103" s="466">
        <v>0</v>
      </c>
      <c r="H2103" s="466">
        <v>0.028</v>
      </c>
      <c r="I2103" s="467">
        <v>0.027</v>
      </c>
      <c r="J2103" s="468">
        <v>0.001</v>
      </c>
    </row>
    <row r="2104" spans="1:10" ht="12.75" outlineLevel="2">
      <c r="A2104" s="645">
        <v>2142138079</v>
      </c>
      <c r="B2104" s="635" t="s">
        <v>1895</v>
      </c>
      <c r="C2104" s="635" t="s">
        <v>1804</v>
      </c>
      <c r="D2104" s="635"/>
      <c r="E2104" s="635" t="s">
        <v>1494</v>
      </c>
      <c r="F2104" s="465" t="s">
        <v>96</v>
      </c>
      <c r="G2104" s="466">
        <v>0.3</v>
      </c>
      <c r="H2104" s="466">
        <v>0.354</v>
      </c>
      <c r="I2104" s="467">
        <v>0.353</v>
      </c>
      <c r="J2104" s="468">
        <v>0.001</v>
      </c>
    </row>
    <row r="2105" spans="1:10" ht="12.75" outlineLevel="2">
      <c r="A2105" s="645">
        <v>2142138080</v>
      </c>
      <c r="B2105" s="635" t="s">
        <v>1896</v>
      </c>
      <c r="C2105" s="635" t="s">
        <v>1804</v>
      </c>
      <c r="D2105" s="635"/>
      <c r="E2105" s="635" t="s">
        <v>1494</v>
      </c>
      <c r="F2105" s="465" t="s">
        <v>96</v>
      </c>
      <c r="G2105" s="466">
        <v>0.23</v>
      </c>
      <c r="H2105" s="466">
        <v>0.15</v>
      </c>
      <c r="I2105" s="467">
        <v>0.15</v>
      </c>
      <c r="J2105" s="468">
        <v>0</v>
      </c>
    </row>
    <row r="2106" spans="1:10" ht="12.75" outlineLevel="2">
      <c r="A2106" s="645">
        <v>2142138081</v>
      </c>
      <c r="B2106" s="635" t="s">
        <v>1897</v>
      </c>
      <c r="C2106" s="635" t="s">
        <v>1804</v>
      </c>
      <c r="D2106" s="635"/>
      <c r="E2106" s="635" t="s">
        <v>1494</v>
      </c>
      <c r="F2106" s="465" t="s">
        <v>96</v>
      </c>
      <c r="G2106" s="466">
        <v>2.2</v>
      </c>
      <c r="H2106" s="466">
        <v>2.2</v>
      </c>
      <c r="I2106" s="467">
        <v>2.199</v>
      </c>
      <c r="J2106" s="468">
        <v>0.001</v>
      </c>
    </row>
    <row r="2107" spans="1:10" ht="12.75" outlineLevel="2">
      <c r="A2107" s="645">
        <v>2142138082</v>
      </c>
      <c r="B2107" s="635" t="s">
        <v>1898</v>
      </c>
      <c r="C2107" s="635" t="s">
        <v>1804</v>
      </c>
      <c r="D2107" s="635"/>
      <c r="E2107" s="635" t="s">
        <v>1494</v>
      </c>
      <c r="F2107" s="465" t="s">
        <v>96</v>
      </c>
      <c r="G2107" s="466">
        <v>0.8</v>
      </c>
      <c r="H2107" s="466">
        <v>0.798</v>
      </c>
      <c r="I2107" s="467">
        <v>0.798</v>
      </c>
      <c r="J2107" s="468">
        <v>0</v>
      </c>
    </row>
    <row r="2108" spans="1:10" ht="12.75" outlineLevel="2">
      <c r="A2108" s="645">
        <v>2142138083</v>
      </c>
      <c r="B2108" s="635" t="s">
        <v>1899</v>
      </c>
      <c r="C2108" s="635" t="s">
        <v>1804</v>
      </c>
      <c r="D2108" s="635"/>
      <c r="E2108" s="635" t="s">
        <v>1533</v>
      </c>
      <c r="F2108" s="465" t="s">
        <v>96</v>
      </c>
      <c r="G2108" s="466">
        <v>0.07</v>
      </c>
      <c r="H2108" s="466">
        <v>0</v>
      </c>
      <c r="I2108" s="467">
        <v>0</v>
      </c>
      <c r="J2108" s="468">
        <v>0</v>
      </c>
    </row>
    <row r="2109" spans="1:10" ht="12.75" outlineLevel="2">
      <c r="A2109" s="645">
        <v>2142138084</v>
      </c>
      <c r="B2109" s="635" t="s">
        <v>1900</v>
      </c>
      <c r="C2109" s="635" t="s">
        <v>1804</v>
      </c>
      <c r="D2109" s="635"/>
      <c r="E2109" s="635" t="s">
        <v>1494</v>
      </c>
      <c r="F2109" s="465" t="s">
        <v>96</v>
      </c>
      <c r="G2109" s="466">
        <v>0.3</v>
      </c>
      <c r="H2109" s="466">
        <v>0.228</v>
      </c>
      <c r="I2109" s="467">
        <v>0.227</v>
      </c>
      <c r="J2109" s="468">
        <v>0.001</v>
      </c>
    </row>
    <row r="2110" spans="1:10" ht="12.75" outlineLevel="2">
      <c r="A2110" s="645">
        <v>2142138085</v>
      </c>
      <c r="B2110" s="635" t="s">
        <v>1850</v>
      </c>
      <c r="C2110" s="635" t="s">
        <v>1804</v>
      </c>
      <c r="D2110" s="635"/>
      <c r="E2110" s="635" t="s">
        <v>1494</v>
      </c>
      <c r="F2110" s="465" t="s">
        <v>1845</v>
      </c>
      <c r="G2110" s="466">
        <v>10.7</v>
      </c>
      <c r="H2110" s="466">
        <v>10.7</v>
      </c>
      <c r="I2110" s="467">
        <v>10.698</v>
      </c>
      <c r="J2110" s="468">
        <v>0.002</v>
      </c>
    </row>
    <row r="2111" spans="1:10" ht="12.75" outlineLevel="2">
      <c r="A2111" s="645">
        <v>2142138086</v>
      </c>
      <c r="B2111" s="635" t="s">
        <v>1901</v>
      </c>
      <c r="C2111" s="635" t="s">
        <v>1792</v>
      </c>
      <c r="D2111" s="635"/>
      <c r="E2111" s="635" t="s">
        <v>1494</v>
      </c>
      <c r="F2111" s="465" t="s">
        <v>1845</v>
      </c>
      <c r="G2111" s="466">
        <v>0.45</v>
      </c>
      <c r="H2111" s="466">
        <v>0.411</v>
      </c>
      <c r="I2111" s="467">
        <v>0.411</v>
      </c>
      <c r="J2111" s="468">
        <v>0</v>
      </c>
    </row>
    <row r="2112" spans="1:10" ht="12.75" outlineLevel="2">
      <c r="A2112" s="645">
        <v>2142138086</v>
      </c>
      <c r="B2112" s="635" t="s">
        <v>1901</v>
      </c>
      <c r="C2112" s="635" t="s">
        <v>1792</v>
      </c>
      <c r="D2112" s="635"/>
      <c r="E2112" s="635" t="s">
        <v>1494</v>
      </c>
      <c r="F2112" s="465" t="s">
        <v>96</v>
      </c>
      <c r="G2112" s="466">
        <v>6.35</v>
      </c>
      <c r="H2112" s="466">
        <v>6.387</v>
      </c>
      <c r="I2112" s="467">
        <v>6.386</v>
      </c>
      <c r="J2112" s="468">
        <v>0.001</v>
      </c>
    </row>
    <row r="2113" spans="1:10" ht="12.75" outlineLevel="2">
      <c r="A2113" s="645">
        <v>2142138087</v>
      </c>
      <c r="B2113" s="635" t="s">
        <v>1990</v>
      </c>
      <c r="C2113" s="635" t="s">
        <v>1792</v>
      </c>
      <c r="D2113" s="635"/>
      <c r="E2113" s="635" t="s">
        <v>1494</v>
      </c>
      <c r="F2113" s="465" t="s">
        <v>96</v>
      </c>
      <c r="G2113" s="466">
        <v>1.12</v>
      </c>
      <c r="H2113" s="466">
        <v>1.112</v>
      </c>
      <c r="I2113" s="467">
        <v>1.112</v>
      </c>
      <c r="J2113" s="468">
        <v>0</v>
      </c>
    </row>
    <row r="2114" spans="1:10" ht="12.75" outlineLevel="2">
      <c r="A2114" s="645">
        <v>2142138088</v>
      </c>
      <c r="B2114" s="635" t="s">
        <v>1902</v>
      </c>
      <c r="C2114" s="635" t="s">
        <v>1792</v>
      </c>
      <c r="D2114" s="635"/>
      <c r="E2114" s="635" t="s">
        <v>1494</v>
      </c>
      <c r="F2114" s="465" t="s">
        <v>96</v>
      </c>
      <c r="G2114" s="466">
        <v>0.25</v>
      </c>
      <c r="H2114" s="466">
        <v>0.144</v>
      </c>
      <c r="I2114" s="467">
        <v>0.144</v>
      </c>
      <c r="J2114" s="468">
        <v>0</v>
      </c>
    </row>
    <row r="2115" spans="1:10" ht="12.75" outlineLevel="2">
      <c r="A2115" s="645">
        <v>2142138089</v>
      </c>
      <c r="B2115" s="635" t="s">
        <v>1903</v>
      </c>
      <c r="C2115" s="635" t="s">
        <v>1792</v>
      </c>
      <c r="D2115" s="635"/>
      <c r="E2115" s="635" t="s">
        <v>1494</v>
      </c>
      <c r="F2115" s="465" t="s">
        <v>96</v>
      </c>
      <c r="G2115" s="466">
        <v>0.69</v>
      </c>
      <c r="H2115" s="466">
        <v>0.634</v>
      </c>
      <c r="I2115" s="467">
        <v>0.633</v>
      </c>
      <c r="J2115" s="468">
        <v>0.001</v>
      </c>
    </row>
    <row r="2116" spans="1:10" ht="12.75" outlineLevel="2">
      <c r="A2116" s="645">
        <v>2142138090</v>
      </c>
      <c r="B2116" s="635" t="s">
        <v>1904</v>
      </c>
      <c r="C2116" s="635" t="s">
        <v>1792</v>
      </c>
      <c r="D2116" s="635"/>
      <c r="E2116" s="635" t="s">
        <v>1494</v>
      </c>
      <c r="F2116" s="465" t="s">
        <v>96</v>
      </c>
      <c r="G2116" s="466">
        <v>0.08</v>
      </c>
      <c r="H2116" s="466">
        <v>0.238</v>
      </c>
      <c r="I2116" s="467">
        <v>0.237</v>
      </c>
      <c r="J2116" s="468">
        <v>0.001</v>
      </c>
    </row>
    <row r="2117" spans="1:10" ht="12.75" outlineLevel="2">
      <c r="A2117" s="645">
        <v>2142138091</v>
      </c>
      <c r="B2117" s="635" t="s">
        <v>1905</v>
      </c>
      <c r="C2117" s="635" t="s">
        <v>1792</v>
      </c>
      <c r="D2117" s="635"/>
      <c r="E2117" s="635" t="s">
        <v>1494</v>
      </c>
      <c r="F2117" s="465" t="s">
        <v>1845</v>
      </c>
      <c r="G2117" s="466">
        <v>5.2</v>
      </c>
      <c r="H2117" s="466">
        <v>0.18</v>
      </c>
      <c r="I2117" s="467">
        <v>0.18</v>
      </c>
      <c r="J2117" s="468">
        <v>0</v>
      </c>
    </row>
    <row r="2118" spans="1:10" ht="12.75" outlineLevel="2">
      <c r="A2118" s="645">
        <v>2142138091</v>
      </c>
      <c r="B2118" s="635" t="s">
        <v>1905</v>
      </c>
      <c r="C2118" s="635" t="s">
        <v>1792</v>
      </c>
      <c r="D2118" s="635"/>
      <c r="E2118" s="635" t="s">
        <v>1494</v>
      </c>
      <c r="F2118" s="465" t="s">
        <v>96</v>
      </c>
      <c r="G2118" s="466">
        <v>3</v>
      </c>
      <c r="H2118" s="466">
        <v>2.736</v>
      </c>
      <c r="I2118" s="467">
        <v>2.736</v>
      </c>
      <c r="J2118" s="468">
        <v>0</v>
      </c>
    </row>
    <row r="2119" spans="1:10" ht="12.75" outlineLevel="2">
      <c r="A2119" s="645">
        <v>2142138092</v>
      </c>
      <c r="B2119" s="635" t="s">
        <v>1850</v>
      </c>
      <c r="C2119" s="635" t="s">
        <v>1792</v>
      </c>
      <c r="D2119" s="635"/>
      <c r="E2119" s="635" t="s">
        <v>1494</v>
      </c>
      <c r="F2119" s="465" t="s">
        <v>1845</v>
      </c>
      <c r="G2119" s="466">
        <v>0.11</v>
      </c>
      <c r="H2119" s="466">
        <v>4.62</v>
      </c>
      <c r="I2119" s="467">
        <v>4.62</v>
      </c>
      <c r="J2119" s="468">
        <v>0</v>
      </c>
    </row>
    <row r="2120" spans="1:10" ht="12.75" outlineLevel="2">
      <c r="A2120" s="645">
        <v>2142138093</v>
      </c>
      <c r="B2120" s="635" t="s">
        <v>1850</v>
      </c>
      <c r="C2120" s="635" t="s">
        <v>1790</v>
      </c>
      <c r="D2120" s="635"/>
      <c r="E2120" s="635" t="s">
        <v>1494</v>
      </c>
      <c r="F2120" s="465" t="s">
        <v>1845</v>
      </c>
      <c r="G2120" s="466">
        <v>3.6</v>
      </c>
      <c r="H2120" s="466">
        <v>3.6</v>
      </c>
      <c r="I2120" s="467">
        <v>3.6</v>
      </c>
      <c r="J2120" s="468">
        <v>0</v>
      </c>
    </row>
    <row r="2121" spans="1:10" ht="12.75" outlineLevel="2">
      <c r="A2121" s="645">
        <v>2142138094</v>
      </c>
      <c r="B2121" s="635" t="s">
        <v>1906</v>
      </c>
      <c r="C2121" s="635" t="s">
        <v>1790</v>
      </c>
      <c r="D2121" s="635"/>
      <c r="E2121" s="635" t="s">
        <v>1494</v>
      </c>
      <c r="F2121" s="465" t="s">
        <v>96</v>
      </c>
      <c r="G2121" s="466">
        <v>13.8</v>
      </c>
      <c r="H2121" s="466">
        <v>17.852</v>
      </c>
      <c r="I2121" s="467">
        <v>17.851</v>
      </c>
      <c r="J2121" s="468">
        <v>0.001</v>
      </c>
    </row>
    <row r="2122" spans="1:10" ht="12.75" outlineLevel="2">
      <c r="A2122" s="645">
        <v>2142138095</v>
      </c>
      <c r="B2122" s="635" t="s">
        <v>1907</v>
      </c>
      <c r="C2122" s="635" t="s">
        <v>1790</v>
      </c>
      <c r="D2122" s="635"/>
      <c r="E2122" s="635" t="s">
        <v>1494</v>
      </c>
      <c r="F2122" s="465" t="s">
        <v>96</v>
      </c>
      <c r="G2122" s="466">
        <v>4.8</v>
      </c>
      <c r="H2122" s="466">
        <v>4.384</v>
      </c>
      <c r="I2122" s="467">
        <v>4.383</v>
      </c>
      <c r="J2122" s="468">
        <v>0.001</v>
      </c>
    </row>
    <row r="2123" spans="1:10" ht="12.75" outlineLevel="2">
      <c r="A2123" s="645">
        <v>2142138096</v>
      </c>
      <c r="B2123" s="635" t="s">
        <v>1908</v>
      </c>
      <c r="C2123" s="635" t="s">
        <v>1790</v>
      </c>
      <c r="D2123" s="635"/>
      <c r="E2123" s="635" t="s">
        <v>1494</v>
      </c>
      <c r="F2123" s="465" t="s">
        <v>96</v>
      </c>
      <c r="G2123" s="466">
        <v>2.68</v>
      </c>
      <c r="H2123" s="466">
        <v>1.494</v>
      </c>
      <c r="I2123" s="467">
        <v>1.493</v>
      </c>
      <c r="J2123" s="468">
        <v>0.001</v>
      </c>
    </row>
    <row r="2124" spans="1:10" ht="12.75" outlineLevel="2">
      <c r="A2124" s="645">
        <v>2142138097</v>
      </c>
      <c r="B2124" s="635" t="s">
        <v>1909</v>
      </c>
      <c r="C2124" s="635" t="s">
        <v>1790</v>
      </c>
      <c r="D2124" s="635"/>
      <c r="E2124" s="635" t="s">
        <v>1494</v>
      </c>
      <c r="F2124" s="465" t="s">
        <v>96</v>
      </c>
      <c r="G2124" s="466">
        <v>4.2</v>
      </c>
      <c r="H2124" s="466">
        <v>4.499</v>
      </c>
      <c r="I2124" s="467">
        <v>4.499</v>
      </c>
      <c r="J2124" s="468">
        <v>0</v>
      </c>
    </row>
    <row r="2125" spans="1:10" ht="12.75" outlineLevel="2">
      <c r="A2125" s="645">
        <v>2142138098</v>
      </c>
      <c r="B2125" s="635" t="s">
        <v>1910</v>
      </c>
      <c r="C2125" s="635" t="s">
        <v>1790</v>
      </c>
      <c r="D2125" s="635"/>
      <c r="E2125" s="635" t="s">
        <v>1494</v>
      </c>
      <c r="F2125" s="465" t="s">
        <v>96</v>
      </c>
      <c r="G2125" s="466">
        <v>0.4</v>
      </c>
      <c r="H2125" s="466">
        <v>0.34</v>
      </c>
      <c r="I2125" s="467">
        <v>0.339</v>
      </c>
      <c r="J2125" s="468">
        <v>0.001</v>
      </c>
    </row>
    <row r="2126" spans="1:10" ht="12.75" outlineLevel="2">
      <c r="A2126" s="645">
        <v>2142138099</v>
      </c>
      <c r="B2126" s="635" t="s">
        <v>1911</v>
      </c>
      <c r="C2126" s="635" t="s">
        <v>1790</v>
      </c>
      <c r="D2126" s="635"/>
      <c r="E2126" s="635" t="s">
        <v>1494</v>
      </c>
      <c r="F2126" s="465" t="s">
        <v>96</v>
      </c>
      <c r="G2126" s="466">
        <v>2</v>
      </c>
      <c r="H2126" s="466">
        <v>2.179</v>
      </c>
      <c r="I2126" s="467">
        <v>2.179</v>
      </c>
      <c r="J2126" s="468">
        <v>0</v>
      </c>
    </row>
    <row r="2127" spans="1:10" ht="12.75" outlineLevel="2">
      <c r="A2127" s="645">
        <v>2142138100</v>
      </c>
      <c r="B2127" s="635" t="s">
        <v>1912</v>
      </c>
      <c r="C2127" s="635" t="s">
        <v>1790</v>
      </c>
      <c r="D2127" s="635"/>
      <c r="E2127" s="635" t="s">
        <v>1494</v>
      </c>
      <c r="F2127" s="465" t="s">
        <v>96</v>
      </c>
      <c r="G2127" s="466">
        <v>2</v>
      </c>
      <c r="H2127" s="466">
        <v>1.976</v>
      </c>
      <c r="I2127" s="467">
        <v>1.975</v>
      </c>
      <c r="J2127" s="468">
        <v>0.001</v>
      </c>
    </row>
    <row r="2128" spans="1:10" ht="12.75" outlineLevel="2">
      <c r="A2128" s="645">
        <v>2142138101</v>
      </c>
      <c r="B2128" s="635" t="s">
        <v>1850</v>
      </c>
      <c r="C2128" s="635" t="s">
        <v>1798</v>
      </c>
      <c r="D2128" s="635"/>
      <c r="E2128" s="635" t="s">
        <v>1494</v>
      </c>
      <c r="F2128" s="465" t="s">
        <v>1845</v>
      </c>
      <c r="G2128" s="466">
        <v>7.058</v>
      </c>
      <c r="H2128" s="466">
        <v>7.058</v>
      </c>
      <c r="I2128" s="467">
        <v>7.058</v>
      </c>
      <c r="J2128" s="468">
        <v>0</v>
      </c>
    </row>
    <row r="2129" spans="1:10" ht="12.75" outlineLevel="2">
      <c r="A2129" s="645">
        <v>2142138102</v>
      </c>
      <c r="B2129" s="635" t="s">
        <v>285</v>
      </c>
      <c r="C2129" s="635" t="s">
        <v>1798</v>
      </c>
      <c r="D2129" s="635"/>
      <c r="E2129" s="635" t="s">
        <v>1494</v>
      </c>
      <c r="F2129" s="465" t="s">
        <v>96</v>
      </c>
      <c r="G2129" s="466">
        <v>10.35</v>
      </c>
      <c r="H2129" s="466">
        <v>7.845</v>
      </c>
      <c r="I2129" s="467">
        <v>7.844</v>
      </c>
      <c r="J2129" s="468">
        <v>0.001</v>
      </c>
    </row>
    <row r="2130" spans="1:10" ht="12.75" outlineLevel="2">
      <c r="A2130" s="645">
        <v>2142138103</v>
      </c>
      <c r="B2130" s="635" t="s">
        <v>1913</v>
      </c>
      <c r="C2130" s="635" t="s">
        <v>1798</v>
      </c>
      <c r="D2130" s="635"/>
      <c r="E2130" s="635" t="s">
        <v>1494</v>
      </c>
      <c r="F2130" s="465" t="s">
        <v>96</v>
      </c>
      <c r="G2130" s="466">
        <v>0.26</v>
      </c>
      <c r="H2130" s="466">
        <v>0.26</v>
      </c>
      <c r="I2130" s="467">
        <v>0.26</v>
      </c>
      <c r="J2130" s="468">
        <v>0</v>
      </c>
    </row>
    <row r="2131" spans="1:10" ht="12.75" outlineLevel="2">
      <c r="A2131" s="645">
        <v>2142138104</v>
      </c>
      <c r="B2131" s="635" t="s">
        <v>1914</v>
      </c>
      <c r="C2131" s="635" t="s">
        <v>1798</v>
      </c>
      <c r="D2131" s="635"/>
      <c r="E2131" s="635" t="s">
        <v>1494</v>
      </c>
      <c r="F2131" s="465" t="s">
        <v>96</v>
      </c>
      <c r="G2131" s="466">
        <v>0.35</v>
      </c>
      <c r="H2131" s="466">
        <v>0.346</v>
      </c>
      <c r="I2131" s="467">
        <v>0.345</v>
      </c>
      <c r="J2131" s="468">
        <v>0.001</v>
      </c>
    </row>
    <row r="2132" spans="1:10" ht="12.75" outlineLevel="2">
      <c r="A2132" s="645">
        <v>2142138105</v>
      </c>
      <c r="B2132" s="635" t="s">
        <v>1915</v>
      </c>
      <c r="C2132" s="635" t="s">
        <v>1798</v>
      </c>
      <c r="D2132" s="635"/>
      <c r="E2132" s="635" t="s">
        <v>1494</v>
      </c>
      <c r="F2132" s="465" t="s">
        <v>96</v>
      </c>
      <c r="G2132" s="466">
        <v>1.26</v>
      </c>
      <c r="H2132" s="466">
        <v>1.26</v>
      </c>
      <c r="I2132" s="467">
        <v>1.26</v>
      </c>
      <c r="J2132" s="468">
        <v>0</v>
      </c>
    </row>
    <row r="2133" spans="1:10" ht="12.75" outlineLevel="2">
      <c r="A2133" s="645">
        <v>2142138106</v>
      </c>
      <c r="B2133" s="635" t="s">
        <v>1916</v>
      </c>
      <c r="C2133" s="635" t="s">
        <v>1798</v>
      </c>
      <c r="D2133" s="635"/>
      <c r="E2133" s="635" t="s">
        <v>1494</v>
      </c>
      <c r="F2133" s="465" t="s">
        <v>96</v>
      </c>
      <c r="G2133" s="466">
        <v>0.73</v>
      </c>
      <c r="H2133" s="466">
        <v>0.727</v>
      </c>
      <c r="I2133" s="467">
        <v>0.727</v>
      </c>
      <c r="J2133" s="468">
        <v>0</v>
      </c>
    </row>
    <row r="2134" spans="1:10" ht="12.75" outlineLevel="2">
      <c r="A2134" s="645">
        <v>2142138107</v>
      </c>
      <c r="B2134" s="635" t="s">
        <v>1917</v>
      </c>
      <c r="C2134" s="635" t="s">
        <v>1798</v>
      </c>
      <c r="D2134" s="635"/>
      <c r="E2134" s="635" t="s">
        <v>1494</v>
      </c>
      <c r="F2134" s="465" t="s">
        <v>96</v>
      </c>
      <c r="G2134" s="466">
        <v>0.22</v>
      </c>
      <c r="H2134" s="466">
        <v>0.18</v>
      </c>
      <c r="I2134" s="467">
        <v>0.18</v>
      </c>
      <c r="J2134" s="468">
        <v>0</v>
      </c>
    </row>
    <row r="2135" spans="1:10" ht="12.75" outlineLevel="2">
      <c r="A2135" s="645">
        <v>2142138108</v>
      </c>
      <c r="B2135" s="635" t="s">
        <v>1918</v>
      </c>
      <c r="C2135" s="635" t="s">
        <v>1798</v>
      </c>
      <c r="D2135" s="635"/>
      <c r="E2135" s="635" t="s">
        <v>1494</v>
      </c>
      <c r="F2135" s="465" t="s">
        <v>96</v>
      </c>
      <c r="G2135" s="466">
        <v>0.13</v>
      </c>
      <c r="H2135" s="466">
        <v>0.114</v>
      </c>
      <c r="I2135" s="467">
        <v>0.114</v>
      </c>
      <c r="J2135" s="468">
        <v>0</v>
      </c>
    </row>
    <row r="2136" spans="1:10" ht="12.75" outlineLevel="2">
      <c r="A2136" s="645">
        <v>2142138109</v>
      </c>
      <c r="B2136" s="635" t="s">
        <v>1919</v>
      </c>
      <c r="C2136" s="635" t="s">
        <v>1798</v>
      </c>
      <c r="D2136" s="635"/>
      <c r="E2136" s="635" t="s">
        <v>1494</v>
      </c>
      <c r="F2136" s="465" t="s">
        <v>96</v>
      </c>
      <c r="G2136" s="466">
        <v>0.14</v>
      </c>
      <c r="H2136" s="466">
        <v>0.121</v>
      </c>
      <c r="I2136" s="467">
        <v>0.12</v>
      </c>
      <c r="J2136" s="468">
        <v>0.001</v>
      </c>
    </row>
    <row r="2137" spans="1:10" ht="12.75" outlineLevel="2">
      <c r="A2137" s="645">
        <v>2142138110</v>
      </c>
      <c r="B2137" s="635" t="s">
        <v>1920</v>
      </c>
      <c r="C2137" s="635" t="s">
        <v>1798</v>
      </c>
      <c r="D2137" s="635"/>
      <c r="E2137" s="635" t="s">
        <v>1494</v>
      </c>
      <c r="F2137" s="465" t="s">
        <v>96</v>
      </c>
      <c r="G2137" s="466">
        <v>4.9</v>
      </c>
      <c r="H2137" s="466">
        <v>4.9</v>
      </c>
      <c r="I2137" s="467">
        <v>4.899</v>
      </c>
      <c r="J2137" s="468">
        <v>0.001</v>
      </c>
    </row>
    <row r="2138" spans="1:10" ht="12.75" outlineLevel="2">
      <c r="A2138" s="645">
        <v>2142138111</v>
      </c>
      <c r="B2138" s="635" t="s">
        <v>1921</v>
      </c>
      <c r="C2138" s="635" t="s">
        <v>1798</v>
      </c>
      <c r="D2138" s="635"/>
      <c r="E2138" s="635" t="s">
        <v>1494</v>
      </c>
      <c r="F2138" s="465" t="s">
        <v>96</v>
      </c>
      <c r="G2138" s="466">
        <v>0.08</v>
      </c>
      <c r="H2138" s="466">
        <v>0.062</v>
      </c>
      <c r="I2138" s="467">
        <v>0.061</v>
      </c>
      <c r="J2138" s="468">
        <v>0.001</v>
      </c>
    </row>
    <row r="2139" spans="1:10" ht="12.75" outlineLevel="2">
      <c r="A2139" s="645">
        <v>2142138112</v>
      </c>
      <c r="B2139" s="635" t="s">
        <v>972</v>
      </c>
      <c r="C2139" s="635" t="s">
        <v>1788</v>
      </c>
      <c r="D2139" s="635"/>
      <c r="E2139" s="635" t="s">
        <v>1494</v>
      </c>
      <c r="F2139" s="465" t="s">
        <v>1845</v>
      </c>
      <c r="G2139" s="466">
        <v>6.013</v>
      </c>
      <c r="H2139" s="466">
        <v>6.013</v>
      </c>
      <c r="I2139" s="467">
        <v>6.011</v>
      </c>
      <c r="J2139" s="468">
        <v>0.002</v>
      </c>
    </row>
    <row r="2140" spans="1:10" ht="12.75" outlineLevel="2">
      <c r="A2140" s="645">
        <v>2142138113</v>
      </c>
      <c r="B2140" s="635" t="s">
        <v>1922</v>
      </c>
      <c r="C2140" s="635" t="s">
        <v>1788</v>
      </c>
      <c r="D2140" s="635"/>
      <c r="E2140" s="635" t="s">
        <v>1494</v>
      </c>
      <c r="F2140" s="465" t="s">
        <v>96</v>
      </c>
      <c r="G2140" s="466">
        <v>8</v>
      </c>
      <c r="H2140" s="466">
        <v>3.783</v>
      </c>
      <c r="I2140" s="467">
        <v>3.782</v>
      </c>
      <c r="J2140" s="468">
        <v>0.001</v>
      </c>
    </row>
    <row r="2141" spans="1:10" ht="12.75" outlineLevel="2">
      <c r="A2141" s="645">
        <v>2142138114</v>
      </c>
      <c r="B2141" s="635" t="s">
        <v>285</v>
      </c>
      <c r="C2141" s="635" t="s">
        <v>1788</v>
      </c>
      <c r="D2141" s="635"/>
      <c r="E2141" s="635" t="s">
        <v>1494</v>
      </c>
      <c r="F2141" s="465" t="s">
        <v>96</v>
      </c>
      <c r="G2141" s="466">
        <v>7.5</v>
      </c>
      <c r="H2141" s="466">
        <v>7.577</v>
      </c>
      <c r="I2141" s="467">
        <v>7.576</v>
      </c>
      <c r="J2141" s="468">
        <v>0.001</v>
      </c>
    </row>
    <row r="2142" spans="1:10" ht="12.75" outlineLevel="2">
      <c r="A2142" s="645">
        <v>2142138115</v>
      </c>
      <c r="B2142" s="635" t="s">
        <v>1923</v>
      </c>
      <c r="C2142" s="635" t="s">
        <v>1788</v>
      </c>
      <c r="D2142" s="635"/>
      <c r="E2142" s="635" t="s">
        <v>1494</v>
      </c>
      <c r="F2142" s="465" t="s">
        <v>96</v>
      </c>
      <c r="G2142" s="466">
        <v>0.322</v>
      </c>
      <c r="H2142" s="466">
        <v>0.318</v>
      </c>
      <c r="I2142" s="467">
        <v>0.317</v>
      </c>
      <c r="J2142" s="468">
        <v>0.001</v>
      </c>
    </row>
    <row r="2143" spans="1:10" ht="12.75" outlineLevel="2">
      <c r="A2143" s="645">
        <v>2142138116</v>
      </c>
      <c r="B2143" s="635" t="s">
        <v>1924</v>
      </c>
      <c r="C2143" s="635" t="s">
        <v>1788</v>
      </c>
      <c r="D2143" s="635"/>
      <c r="E2143" s="635" t="s">
        <v>1494</v>
      </c>
      <c r="F2143" s="465" t="s">
        <v>96</v>
      </c>
      <c r="G2143" s="466">
        <v>0.378</v>
      </c>
      <c r="H2143" s="466">
        <v>0.295</v>
      </c>
      <c r="I2143" s="467">
        <v>0.294</v>
      </c>
      <c r="J2143" s="468">
        <v>0.001</v>
      </c>
    </row>
    <row r="2144" spans="1:10" ht="12.75" outlineLevel="2">
      <c r="A2144" s="645">
        <v>2142138117</v>
      </c>
      <c r="B2144" s="635" t="s">
        <v>1925</v>
      </c>
      <c r="C2144" s="635" t="s">
        <v>1788</v>
      </c>
      <c r="D2144" s="635"/>
      <c r="E2144" s="635" t="s">
        <v>1494</v>
      </c>
      <c r="F2144" s="465" t="s">
        <v>96</v>
      </c>
      <c r="G2144" s="466">
        <v>0.34</v>
      </c>
      <c r="H2144" s="466">
        <v>0.273</v>
      </c>
      <c r="I2144" s="467">
        <v>0.273</v>
      </c>
      <c r="J2144" s="468">
        <v>0</v>
      </c>
    </row>
    <row r="2145" spans="1:10" ht="12.75" outlineLevel="2">
      <c r="A2145" s="645">
        <v>2142138118</v>
      </c>
      <c r="B2145" s="635" t="s">
        <v>1926</v>
      </c>
      <c r="C2145" s="635" t="s">
        <v>1788</v>
      </c>
      <c r="D2145" s="635"/>
      <c r="E2145" s="635" t="s">
        <v>1494</v>
      </c>
      <c r="F2145" s="465" t="s">
        <v>96</v>
      </c>
      <c r="G2145" s="466">
        <v>0.05</v>
      </c>
      <c r="H2145" s="466">
        <v>0.053</v>
      </c>
      <c r="I2145" s="467">
        <v>0.052</v>
      </c>
      <c r="J2145" s="468">
        <v>0.001</v>
      </c>
    </row>
    <row r="2146" spans="1:10" ht="12.75" outlineLevel="2">
      <c r="A2146" s="645">
        <v>2142138119</v>
      </c>
      <c r="B2146" s="635" t="s">
        <v>1927</v>
      </c>
      <c r="C2146" s="635" t="s">
        <v>1788</v>
      </c>
      <c r="D2146" s="635"/>
      <c r="E2146" s="635" t="s">
        <v>1494</v>
      </c>
      <c r="F2146" s="465" t="s">
        <v>96</v>
      </c>
      <c r="G2146" s="466">
        <v>0.48</v>
      </c>
      <c r="H2146" s="466">
        <v>0.485</v>
      </c>
      <c r="I2146" s="467">
        <v>0.484</v>
      </c>
      <c r="J2146" s="468">
        <v>0.001</v>
      </c>
    </row>
    <row r="2147" spans="1:10" ht="12.75" outlineLevel="2">
      <c r="A2147" s="645">
        <v>2142138120</v>
      </c>
      <c r="B2147" s="635" t="s">
        <v>1928</v>
      </c>
      <c r="C2147" s="635" t="s">
        <v>1784</v>
      </c>
      <c r="D2147" s="635"/>
      <c r="E2147" s="635" t="s">
        <v>1494</v>
      </c>
      <c r="F2147" s="465" t="s">
        <v>96</v>
      </c>
      <c r="G2147" s="466">
        <v>7</v>
      </c>
      <c r="H2147" s="466">
        <v>6.989</v>
      </c>
      <c r="I2147" s="467">
        <v>6.989</v>
      </c>
      <c r="J2147" s="468">
        <v>0</v>
      </c>
    </row>
    <row r="2148" spans="1:10" ht="12.75" outlineLevel="2">
      <c r="A2148" s="645">
        <v>2142138121</v>
      </c>
      <c r="B2148" s="635" t="s">
        <v>1929</v>
      </c>
      <c r="C2148" s="635" t="s">
        <v>1784</v>
      </c>
      <c r="D2148" s="635"/>
      <c r="E2148" s="635" t="s">
        <v>1494</v>
      </c>
      <c r="F2148" s="465" t="s">
        <v>96</v>
      </c>
      <c r="G2148" s="466">
        <v>4.5</v>
      </c>
      <c r="H2148" s="466">
        <v>3.602</v>
      </c>
      <c r="I2148" s="467">
        <v>3.601</v>
      </c>
      <c r="J2148" s="468">
        <v>0.001</v>
      </c>
    </row>
    <row r="2149" spans="1:10" ht="12.75" outlineLevel="2">
      <c r="A2149" s="645">
        <v>2142138122</v>
      </c>
      <c r="B2149" s="635" t="s">
        <v>1930</v>
      </c>
      <c r="C2149" s="635" t="s">
        <v>1784</v>
      </c>
      <c r="D2149" s="635"/>
      <c r="E2149" s="635" t="s">
        <v>1494</v>
      </c>
      <c r="F2149" s="465" t="s">
        <v>96</v>
      </c>
      <c r="G2149" s="466">
        <v>2.3</v>
      </c>
      <c r="H2149" s="466">
        <v>2.3</v>
      </c>
      <c r="I2149" s="467">
        <v>2.3</v>
      </c>
      <c r="J2149" s="468">
        <v>0</v>
      </c>
    </row>
    <row r="2150" spans="1:10" ht="12.75" outlineLevel="2">
      <c r="A2150" s="645">
        <v>2142138123</v>
      </c>
      <c r="B2150" s="635" t="s">
        <v>1931</v>
      </c>
      <c r="C2150" s="635" t="s">
        <v>1784</v>
      </c>
      <c r="D2150" s="635"/>
      <c r="E2150" s="635" t="s">
        <v>1494</v>
      </c>
      <c r="F2150" s="465" t="s">
        <v>96</v>
      </c>
      <c r="G2150" s="466">
        <v>3.5</v>
      </c>
      <c r="H2150" s="466">
        <v>3.492</v>
      </c>
      <c r="I2150" s="467">
        <v>3.491</v>
      </c>
      <c r="J2150" s="468">
        <v>0.001</v>
      </c>
    </row>
    <row r="2151" spans="1:10" ht="12.75" outlineLevel="2">
      <c r="A2151" s="645">
        <v>2142138124</v>
      </c>
      <c r="B2151" s="635" t="s">
        <v>1932</v>
      </c>
      <c r="C2151" s="635" t="s">
        <v>1784</v>
      </c>
      <c r="D2151" s="635"/>
      <c r="E2151" s="635" t="s">
        <v>1494</v>
      </c>
      <c r="F2151" s="465" t="s">
        <v>96</v>
      </c>
      <c r="G2151" s="466">
        <v>2.5</v>
      </c>
      <c r="H2151" s="466">
        <v>0.002</v>
      </c>
      <c r="I2151" s="467">
        <v>0.001</v>
      </c>
      <c r="J2151" s="468">
        <v>0.001</v>
      </c>
    </row>
    <row r="2152" spans="1:10" ht="12.75" outlineLevel="2">
      <c r="A2152" s="645">
        <v>2142138125</v>
      </c>
      <c r="B2152" s="635" t="s">
        <v>1933</v>
      </c>
      <c r="C2152" s="635" t="s">
        <v>1784</v>
      </c>
      <c r="D2152" s="635"/>
      <c r="E2152" s="635" t="s">
        <v>1494</v>
      </c>
      <c r="F2152" s="465" t="s">
        <v>96</v>
      </c>
      <c r="G2152" s="466">
        <v>0.62</v>
      </c>
      <c r="H2152" s="466">
        <v>1.5</v>
      </c>
      <c r="I2152" s="467">
        <v>1.5</v>
      </c>
      <c r="J2152" s="468">
        <v>0</v>
      </c>
    </row>
    <row r="2153" spans="1:10" ht="12.75" outlineLevel="2">
      <c r="A2153" s="645">
        <v>2142138126</v>
      </c>
      <c r="B2153" s="635" t="s">
        <v>1934</v>
      </c>
      <c r="C2153" s="635" t="s">
        <v>1784</v>
      </c>
      <c r="D2153" s="635"/>
      <c r="E2153" s="635" t="s">
        <v>1494</v>
      </c>
      <c r="F2153" s="465" t="s">
        <v>96</v>
      </c>
      <c r="G2153" s="466">
        <v>0.28</v>
      </c>
      <c r="H2153" s="466">
        <v>0.6</v>
      </c>
      <c r="I2153" s="467">
        <v>0.6</v>
      </c>
      <c r="J2153" s="468">
        <v>0</v>
      </c>
    </row>
    <row r="2154" spans="1:10" ht="12.75" outlineLevel="2">
      <c r="A2154" s="645">
        <v>2142138127</v>
      </c>
      <c r="B2154" s="635" t="s">
        <v>1935</v>
      </c>
      <c r="C2154" s="635" t="s">
        <v>1784</v>
      </c>
      <c r="D2154" s="635"/>
      <c r="E2154" s="635" t="s">
        <v>1494</v>
      </c>
      <c r="F2154" s="465" t="s">
        <v>96</v>
      </c>
      <c r="G2154" s="466">
        <v>5</v>
      </c>
      <c r="H2154" s="466">
        <v>2.502</v>
      </c>
      <c r="I2154" s="467">
        <v>2.501</v>
      </c>
      <c r="J2154" s="468">
        <v>0.001</v>
      </c>
    </row>
    <row r="2155" spans="1:10" ht="12.75" outlineLevel="2">
      <c r="A2155" s="645">
        <v>2142138128</v>
      </c>
      <c r="B2155" s="635" t="s">
        <v>1936</v>
      </c>
      <c r="C2155" s="635" t="s">
        <v>1784</v>
      </c>
      <c r="D2155" s="635"/>
      <c r="E2155" s="635" t="s">
        <v>1494</v>
      </c>
      <c r="F2155" s="465" t="s">
        <v>96</v>
      </c>
      <c r="G2155" s="466">
        <v>1.004</v>
      </c>
      <c r="H2155" s="466">
        <v>0.879</v>
      </c>
      <c r="I2155" s="467">
        <v>0.879</v>
      </c>
      <c r="J2155" s="468">
        <v>0</v>
      </c>
    </row>
    <row r="2156" spans="1:10" ht="12.75" outlineLevel="2">
      <c r="A2156" s="645">
        <v>2142138129</v>
      </c>
      <c r="B2156" s="635" t="s">
        <v>1937</v>
      </c>
      <c r="C2156" s="635" t="s">
        <v>1784</v>
      </c>
      <c r="D2156" s="635"/>
      <c r="E2156" s="635" t="s">
        <v>1494</v>
      </c>
      <c r="F2156" s="465" t="s">
        <v>96</v>
      </c>
      <c r="G2156" s="466">
        <v>0.096</v>
      </c>
      <c r="H2156" s="466">
        <v>0.094</v>
      </c>
      <c r="I2156" s="467">
        <v>0.094</v>
      </c>
      <c r="J2156" s="468">
        <v>0</v>
      </c>
    </row>
    <row r="2157" spans="1:10" ht="12.75" outlineLevel="2">
      <c r="A2157" s="645">
        <v>2142138130</v>
      </c>
      <c r="B2157" s="635" t="s">
        <v>1938</v>
      </c>
      <c r="C2157" s="635" t="s">
        <v>1784</v>
      </c>
      <c r="D2157" s="635"/>
      <c r="E2157" s="635" t="s">
        <v>1494</v>
      </c>
      <c r="F2157" s="465" t="s">
        <v>96</v>
      </c>
      <c r="G2157" s="466">
        <v>0.35</v>
      </c>
      <c r="H2157" s="466">
        <v>0.35</v>
      </c>
      <c r="I2157" s="467">
        <v>0.349</v>
      </c>
      <c r="J2157" s="468">
        <v>0.001</v>
      </c>
    </row>
    <row r="2158" spans="1:10" ht="12.75" outlineLevel="2">
      <c r="A2158" s="645">
        <v>2142138131</v>
      </c>
      <c r="B2158" s="635" t="s">
        <v>1939</v>
      </c>
      <c r="C2158" s="635" t="s">
        <v>1784</v>
      </c>
      <c r="D2158" s="635"/>
      <c r="E2158" s="635" t="s">
        <v>1494</v>
      </c>
      <c r="F2158" s="465" t="s">
        <v>96</v>
      </c>
      <c r="G2158" s="466">
        <v>0.75</v>
      </c>
      <c r="H2158" s="466">
        <v>0.746</v>
      </c>
      <c r="I2158" s="467">
        <v>0.745</v>
      </c>
      <c r="J2158" s="468">
        <v>0.001</v>
      </c>
    </row>
    <row r="2159" spans="1:10" ht="12.75" outlineLevel="2">
      <c r="A2159" s="645">
        <v>2142138132</v>
      </c>
      <c r="B2159" s="635" t="s">
        <v>972</v>
      </c>
      <c r="C2159" s="635" t="s">
        <v>1784</v>
      </c>
      <c r="D2159" s="635"/>
      <c r="E2159" s="635" t="s">
        <v>1494</v>
      </c>
      <c r="F2159" s="465" t="s">
        <v>1845</v>
      </c>
      <c r="G2159" s="466">
        <v>7.38</v>
      </c>
      <c r="H2159" s="466">
        <v>8.518</v>
      </c>
      <c r="I2159" s="467">
        <v>8.518</v>
      </c>
      <c r="J2159" s="468">
        <v>0</v>
      </c>
    </row>
    <row r="2160" spans="1:10" ht="12.75" outlineLevel="2">
      <c r="A2160" s="645">
        <v>2142138133</v>
      </c>
      <c r="B2160" s="635" t="s">
        <v>972</v>
      </c>
      <c r="C2160" s="635" t="s">
        <v>1796</v>
      </c>
      <c r="D2160" s="635"/>
      <c r="E2160" s="635" t="s">
        <v>1494</v>
      </c>
      <c r="F2160" s="465" t="s">
        <v>1845</v>
      </c>
      <c r="G2160" s="466">
        <v>8.5</v>
      </c>
      <c r="H2160" s="466">
        <v>6.5</v>
      </c>
      <c r="I2160" s="467">
        <v>6.5</v>
      </c>
      <c r="J2160" s="468">
        <v>0</v>
      </c>
    </row>
    <row r="2161" spans="1:10" ht="12.75" outlineLevel="2">
      <c r="A2161" s="645">
        <v>2142138134</v>
      </c>
      <c r="B2161" s="635" t="s">
        <v>1940</v>
      </c>
      <c r="C2161" s="635" t="s">
        <v>1796</v>
      </c>
      <c r="D2161" s="635"/>
      <c r="E2161" s="635" t="s">
        <v>1533</v>
      </c>
      <c r="F2161" s="465" t="s">
        <v>96</v>
      </c>
      <c r="G2161" s="466">
        <v>3.8</v>
      </c>
      <c r="H2161" s="466">
        <v>0</v>
      </c>
      <c r="I2161" s="467">
        <v>0</v>
      </c>
      <c r="J2161" s="468">
        <v>0</v>
      </c>
    </row>
    <row r="2162" spans="1:10" ht="12.75" outlineLevel="2">
      <c r="A2162" s="645">
        <v>2142138135</v>
      </c>
      <c r="B2162" s="635" t="s">
        <v>1941</v>
      </c>
      <c r="C2162" s="635" t="s">
        <v>1796</v>
      </c>
      <c r="D2162" s="635"/>
      <c r="E2162" s="635" t="s">
        <v>1533</v>
      </c>
      <c r="F2162" s="465" t="s">
        <v>96</v>
      </c>
      <c r="G2162" s="466">
        <v>3.8</v>
      </c>
      <c r="H2162" s="466">
        <v>0</v>
      </c>
      <c r="I2162" s="467">
        <v>0</v>
      </c>
      <c r="J2162" s="468">
        <v>0</v>
      </c>
    </row>
    <row r="2163" spans="1:10" ht="12.75" outlineLevel="2">
      <c r="A2163" s="645">
        <v>2142138136</v>
      </c>
      <c r="B2163" s="635" t="s">
        <v>1942</v>
      </c>
      <c r="C2163" s="635" t="s">
        <v>1796</v>
      </c>
      <c r="D2163" s="635"/>
      <c r="E2163" s="635" t="s">
        <v>1533</v>
      </c>
      <c r="F2163" s="465" t="s">
        <v>96</v>
      </c>
      <c r="G2163" s="466">
        <v>3.2</v>
      </c>
      <c r="H2163" s="466">
        <v>0</v>
      </c>
      <c r="I2163" s="467">
        <v>0</v>
      </c>
      <c r="J2163" s="468">
        <v>0</v>
      </c>
    </row>
    <row r="2164" spans="1:10" ht="12.75" outlineLevel="2">
      <c r="A2164" s="645">
        <v>2142138137</v>
      </c>
      <c r="B2164" s="635" t="s">
        <v>778</v>
      </c>
      <c r="C2164" s="635" t="s">
        <v>1796</v>
      </c>
      <c r="D2164" s="635"/>
      <c r="E2164" s="635" t="s">
        <v>1533</v>
      </c>
      <c r="F2164" s="465" t="s">
        <v>96</v>
      </c>
      <c r="G2164" s="466">
        <v>0.5</v>
      </c>
      <c r="H2164" s="466">
        <v>0</v>
      </c>
      <c r="I2164" s="467">
        <v>0</v>
      </c>
      <c r="J2164" s="468">
        <v>0</v>
      </c>
    </row>
    <row r="2165" spans="1:10" ht="12.75" outlineLevel="2">
      <c r="A2165" s="645">
        <v>2142138138</v>
      </c>
      <c r="B2165" s="635" t="s">
        <v>1943</v>
      </c>
      <c r="C2165" s="635" t="s">
        <v>1796</v>
      </c>
      <c r="D2165" s="635"/>
      <c r="E2165" s="635" t="s">
        <v>1494</v>
      </c>
      <c r="F2165" s="465" t="s">
        <v>96</v>
      </c>
      <c r="G2165" s="466">
        <v>1.15</v>
      </c>
      <c r="H2165" s="466">
        <v>1.163</v>
      </c>
      <c r="I2165" s="467">
        <v>1.162</v>
      </c>
      <c r="J2165" s="468">
        <v>0.001</v>
      </c>
    </row>
    <row r="2166" spans="1:10" ht="12.75" outlineLevel="2">
      <c r="A2166" s="645">
        <v>2142138139</v>
      </c>
      <c r="B2166" s="635" t="s">
        <v>972</v>
      </c>
      <c r="C2166" s="635" t="s">
        <v>1794</v>
      </c>
      <c r="D2166" s="635"/>
      <c r="E2166" s="635" t="s">
        <v>1494</v>
      </c>
      <c r="F2166" s="465" t="s">
        <v>1845</v>
      </c>
      <c r="G2166" s="466">
        <v>9.24</v>
      </c>
      <c r="H2166" s="466">
        <v>8.924</v>
      </c>
      <c r="I2166" s="467">
        <v>8.922</v>
      </c>
      <c r="J2166" s="468">
        <v>0.002</v>
      </c>
    </row>
    <row r="2167" spans="1:10" ht="12.75" outlineLevel="2">
      <c r="A2167" s="645">
        <v>2142138140</v>
      </c>
      <c r="B2167" s="635" t="s">
        <v>1944</v>
      </c>
      <c r="C2167" s="635" t="s">
        <v>1794</v>
      </c>
      <c r="D2167" s="635"/>
      <c r="E2167" s="635" t="s">
        <v>1494</v>
      </c>
      <c r="F2167" s="465" t="s">
        <v>96</v>
      </c>
      <c r="G2167" s="466">
        <v>6.9</v>
      </c>
      <c r="H2167" s="466">
        <v>6.889</v>
      </c>
      <c r="I2167" s="467">
        <v>6.888</v>
      </c>
      <c r="J2167" s="468">
        <v>0.001</v>
      </c>
    </row>
    <row r="2168" spans="1:10" ht="12.75" outlineLevel="2">
      <c r="A2168" s="645">
        <v>2142138141</v>
      </c>
      <c r="B2168" s="635" t="s">
        <v>1945</v>
      </c>
      <c r="C2168" s="635" t="s">
        <v>1794</v>
      </c>
      <c r="D2168" s="635"/>
      <c r="E2168" s="635" t="s">
        <v>1494</v>
      </c>
      <c r="F2168" s="465" t="s">
        <v>96</v>
      </c>
      <c r="G2168" s="466">
        <v>4.75</v>
      </c>
      <c r="H2168" s="466">
        <v>4.745</v>
      </c>
      <c r="I2168" s="467">
        <v>4.745</v>
      </c>
      <c r="J2168" s="468">
        <v>0</v>
      </c>
    </row>
    <row r="2169" spans="1:10" ht="12.75" outlineLevel="2">
      <c r="A2169" s="645">
        <v>2142138142</v>
      </c>
      <c r="B2169" s="635" t="s">
        <v>1946</v>
      </c>
      <c r="C2169" s="635" t="s">
        <v>1794</v>
      </c>
      <c r="D2169" s="635"/>
      <c r="E2169" s="635" t="s">
        <v>1494</v>
      </c>
      <c r="F2169" s="465" t="s">
        <v>96</v>
      </c>
      <c r="G2169" s="466">
        <v>1.97</v>
      </c>
      <c r="H2169" s="466">
        <v>1.899</v>
      </c>
      <c r="I2169" s="467">
        <v>1.899</v>
      </c>
      <c r="J2169" s="468">
        <v>0</v>
      </c>
    </row>
    <row r="2170" spans="1:10" ht="12.75" outlineLevel="2">
      <c r="A2170" s="645">
        <v>2142138143</v>
      </c>
      <c r="B2170" s="635" t="s">
        <v>1947</v>
      </c>
      <c r="C2170" s="635" t="s">
        <v>1794</v>
      </c>
      <c r="D2170" s="635"/>
      <c r="E2170" s="635" t="s">
        <v>1494</v>
      </c>
      <c r="F2170" s="465" t="s">
        <v>96</v>
      </c>
      <c r="G2170" s="466">
        <v>2.1</v>
      </c>
      <c r="H2170" s="466">
        <v>2.177</v>
      </c>
      <c r="I2170" s="467">
        <v>2.176</v>
      </c>
      <c r="J2170" s="468">
        <v>0.001</v>
      </c>
    </row>
    <row r="2171" spans="1:10" ht="12.75" outlineLevel="2">
      <c r="A2171" s="645">
        <v>2142138144</v>
      </c>
      <c r="B2171" s="635" t="s">
        <v>1948</v>
      </c>
      <c r="C2171" s="635" t="s">
        <v>1794</v>
      </c>
      <c r="D2171" s="635"/>
      <c r="E2171" s="635" t="s">
        <v>1494</v>
      </c>
      <c r="F2171" s="465" t="s">
        <v>96</v>
      </c>
      <c r="G2171" s="466">
        <v>1.65</v>
      </c>
      <c r="H2171" s="466">
        <v>1.568</v>
      </c>
      <c r="I2171" s="467">
        <v>1.567</v>
      </c>
      <c r="J2171" s="468">
        <v>0.001</v>
      </c>
    </row>
    <row r="2172" spans="1:10" ht="12.75" outlineLevel="2">
      <c r="A2172" s="645">
        <v>2142138145</v>
      </c>
      <c r="B2172" s="635" t="s">
        <v>1936</v>
      </c>
      <c r="C2172" s="635" t="s">
        <v>1794</v>
      </c>
      <c r="D2172" s="635"/>
      <c r="E2172" s="635" t="s">
        <v>1494</v>
      </c>
      <c r="F2172" s="465" t="s">
        <v>96</v>
      </c>
      <c r="G2172" s="466">
        <v>1.5</v>
      </c>
      <c r="H2172" s="466">
        <v>1.5</v>
      </c>
      <c r="I2172" s="467">
        <v>1.5</v>
      </c>
      <c r="J2172" s="468">
        <v>0</v>
      </c>
    </row>
    <row r="2173" spans="1:10" ht="12.75" outlineLevel="2">
      <c r="A2173" s="645">
        <v>2142138146</v>
      </c>
      <c r="B2173" s="635" t="s">
        <v>1949</v>
      </c>
      <c r="C2173" s="635" t="s">
        <v>1794</v>
      </c>
      <c r="D2173" s="635"/>
      <c r="E2173" s="635" t="s">
        <v>1494</v>
      </c>
      <c r="F2173" s="465" t="s">
        <v>96</v>
      </c>
      <c r="G2173" s="466">
        <v>0.21</v>
      </c>
      <c r="H2173" s="466">
        <v>0.208</v>
      </c>
      <c r="I2173" s="467">
        <v>0.208</v>
      </c>
      <c r="J2173" s="468">
        <v>0</v>
      </c>
    </row>
    <row r="2174" spans="1:10" ht="12.75" outlineLevel="2">
      <c r="A2174" s="645">
        <v>2142138147</v>
      </c>
      <c r="B2174" s="635" t="s">
        <v>1950</v>
      </c>
      <c r="C2174" s="635" t="s">
        <v>1794</v>
      </c>
      <c r="D2174" s="635"/>
      <c r="E2174" s="635" t="s">
        <v>1494</v>
      </c>
      <c r="F2174" s="465" t="s">
        <v>96</v>
      </c>
      <c r="G2174" s="466">
        <v>1</v>
      </c>
      <c r="H2174" s="466">
        <v>1</v>
      </c>
      <c r="I2174" s="467">
        <v>1</v>
      </c>
      <c r="J2174" s="468">
        <v>0</v>
      </c>
    </row>
    <row r="2175" spans="1:10" ht="12.75" outlineLevel="2">
      <c r="A2175" s="645">
        <v>2142138148</v>
      </c>
      <c r="B2175" s="635" t="s">
        <v>1912</v>
      </c>
      <c r="C2175" s="635" t="s">
        <v>1794</v>
      </c>
      <c r="D2175" s="635"/>
      <c r="E2175" s="635" t="s">
        <v>1494</v>
      </c>
      <c r="F2175" s="465" t="s">
        <v>96</v>
      </c>
      <c r="G2175" s="466">
        <v>2</v>
      </c>
      <c r="H2175" s="466">
        <v>1.976</v>
      </c>
      <c r="I2175" s="467">
        <v>1.975</v>
      </c>
      <c r="J2175" s="468">
        <v>0.001</v>
      </c>
    </row>
    <row r="2176" spans="1:10" ht="12.75" outlineLevel="2">
      <c r="A2176" s="645">
        <v>2142138149</v>
      </c>
      <c r="B2176" s="635" t="s">
        <v>1951</v>
      </c>
      <c r="C2176" s="635" t="s">
        <v>1794</v>
      </c>
      <c r="D2176" s="635"/>
      <c r="E2176" s="635" t="s">
        <v>1494</v>
      </c>
      <c r="F2176" s="465" t="s">
        <v>96</v>
      </c>
      <c r="G2176" s="466">
        <v>8.5</v>
      </c>
      <c r="H2176" s="466">
        <v>8.5</v>
      </c>
      <c r="I2176" s="467">
        <v>8.5</v>
      </c>
      <c r="J2176" s="468">
        <v>0</v>
      </c>
    </row>
    <row r="2177" spans="1:10" ht="12.75" outlineLevel="2">
      <c r="A2177" s="645">
        <v>2142138150</v>
      </c>
      <c r="B2177" s="635" t="s">
        <v>1952</v>
      </c>
      <c r="C2177" s="635" t="s">
        <v>1794</v>
      </c>
      <c r="D2177" s="635"/>
      <c r="E2177" s="635" t="s">
        <v>1494</v>
      </c>
      <c r="F2177" s="465" t="s">
        <v>96</v>
      </c>
      <c r="G2177" s="466">
        <v>6.5</v>
      </c>
      <c r="H2177" s="466">
        <v>0</v>
      </c>
      <c r="I2177" s="467">
        <v>0</v>
      </c>
      <c r="J2177" s="468">
        <v>0</v>
      </c>
    </row>
    <row r="2178" spans="1:10" ht="12.75" outlineLevel="2">
      <c r="A2178" s="645">
        <v>2142138151</v>
      </c>
      <c r="B2178" s="635" t="s">
        <v>1953</v>
      </c>
      <c r="C2178" s="635" t="s">
        <v>1794</v>
      </c>
      <c r="D2178" s="635"/>
      <c r="E2178" s="635" t="s">
        <v>1494</v>
      </c>
      <c r="F2178" s="465" t="s">
        <v>96</v>
      </c>
      <c r="G2178" s="466">
        <v>16</v>
      </c>
      <c r="H2178" s="466">
        <v>15.987</v>
      </c>
      <c r="I2178" s="467">
        <v>15.987</v>
      </c>
      <c r="J2178" s="468">
        <v>0</v>
      </c>
    </row>
    <row r="2179" spans="1:10" ht="12.75" outlineLevel="2">
      <c r="A2179" s="645">
        <v>2142138152</v>
      </c>
      <c r="B2179" s="635" t="s">
        <v>1954</v>
      </c>
      <c r="C2179" s="635" t="s">
        <v>1794</v>
      </c>
      <c r="D2179" s="635"/>
      <c r="E2179" s="635" t="s">
        <v>1494</v>
      </c>
      <c r="F2179" s="465" t="s">
        <v>96</v>
      </c>
      <c r="G2179" s="466">
        <v>0.5</v>
      </c>
      <c r="H2179" s="466">
        <v>0.375</v>
      </c>
      <c r="I2179" s="467">
        <v>0.374</v>
      </c>
      <c r="J2179" s="468">
        <v>0.001</v>
      </c>
    </row>
    <row r="2180" spans="1:10" ht="12.75" outlineLevel="2">
      <c r="A2180" s="645">
        <v>2142138153</v>
      </c>
      <c r="B2180" s="635" t="s">
        <v>1955</v>
      </c>
      <c r="C2180" s="635" t="s">
        <v>1794</v>
      </c>
      <c r="D2180" s="635"/>
      <c r="E2180" s="635" t="s">
        <v>1494</v>
      </c>
      <c r="F2180" s="465" t="s">
        <v>96</v>
      </c>
      <c r="G2180" s="466">
        <v>0.5</v>
      </c>
      <c r="H2180" s="466">
        <v>0.435</v>
      </c>
      <c r="I2180" s="467">
        <v>0.435</v>
      </c>
      <c r="J2180" s="468">
        <v>0</v>
      </c>
    </row>
    <row r="2181" spans="1:10" ht="12.75" outlineLevel="2">
      <c r="A2181" s="645">
        <v>2142138154</v>
      </c>
      <c r="B2181" s="635" t="s">
        <v>1956</v>
      </c>
      <c r="C2181" s="635" t="s">
        <v>1794</v>
      </c>
      <c r="D2181" s="635"/>
      <c r="E2181" s="635" t="s">
        <v>1494</v>
      </c>
      <c r="F2181" s="465" t="s">
        <v>96</v>
      </c>
      <c r="G2181" s="466">
        <v>1</v>
      </c>
      <c r="H2181" s="466">
        <v>1.186</v>
      </c>
      <c r="I2181" s="467">
        <v>1.185</v>
      </c>
      <c r="J2181" s="468">
        <v>0.001</v>
      </c>
    </row>
    <row r="2182" spans="1:10" ht="12.75" outlineLevel="2">
      <c r="A2182" s="645">
        <v>2142138155</v>
      </c>
      <c r="B2182" s="635" t="s">
        <v>1957</v>
      </c>
      <c r="C2182" s="635" t="s">
        <v>1794</v>
      </c>
      <c r="D2182" s="635"/>
      <c r="E2182" s="635" t="s">
        <v>1494</v>
      </c>
      <c r="F2182" s="465" t="s">
        <v>96</v>
      </c>
      <c r="G2182" s="466">
        <v>1</v>
      </c>
      <c r="H2182" s="466">
        <v>0.376</v>
      </c>
      <c r="I2182" s="467">
        <v>0.376</v>
      </c>
      <c r="J2182" s="468">
        <v>0</v>
      </c>
    </row>
    <row r="2183" spans="1:10" ht="12.75" outlineLevel="2">
      <c r="A2183" s="645">
        <v>2142138156</v>
      </c>
      <c r="B2183" s="635" t="s">
        <v>1958</v>
      </c>
      <c r="C2183" s="635" t="s">
        <v>1806</v>
      </c>
      <c r="D2183" s="635"/>
      <c r="E2183" s="635" t="s">
        <v>1494</v>
      </c>
      <c r="F2183" s="465" t="s">
        <v>96</v>
      </c>
      <c r="G2183" s="466">
        <v>6.6</v>
      </c>
      <c r="H2183" s="466">
        <v>6.52</v>
      </c>
      <c r="I2183" s="467">
        <v>6.52</v>
      </c>
      <c r="J2183" s="468">
        <v>0</v>
      </c>
    </row>
    <row r="2184" spans="1:10" ht="12.75" outlineLevel="2">
      <c r="A2184" s="645">
        <v>2142138157</v>
      </c>
      <c r="B2184" s="635" t="s">
        <v>1959</v>
      </c>
      <c r="C2184" s="635" t="s">
        <v>1806</v>
      </c>
      <c r="D2184" s="635"/>
      <c r="E2184" s="635" t="s">
        <v>1494</v>
      </c>
      <c r="F2184" s="465" t="s">
        <v>96</v>
      </c>
      <c r="G2184" s="466">
        <v>3.76</v>
      </c>
      <c r="H2184" s="466">
        <v>3.631</v>
      </c>
      <c r="I2184" s="467">
        <v>3.63</v>
      </c>
      <c r="J2184" s="468">
        <v>0.001</v>
      </c>
    </row>
    <row r="2185" spans="1:10" ht="12.75" outlineLevel="2">
      <c r="A2185" s="645">
        <v>2142138158</v>
      </c>
      <c r="B2185" s="635" t="s">
        <v>1960</v>
      </c>
      <c r="C2185" s="635" t="s">
        <v>1806</v>
      </c>
      <c r="D2185" s="635"/>
      <c r="E2185" s="635" t="s">
        <v>1494</v>
      </c>
      <c r="F2185" s="465" t="s">
        <v>96</v>
      </c>
      <c r="G2185" s="466">
        <v>0.7</v>
      </c>
      <c r="H2185" s="466">
        <v>0.714</v>
      </c>
      <c r="I2185" s="467">
        <v>0.714</v>
      </c>
      <c r="J2185" s="468">
        <v>0</v>
      </c>
    </row>
    <row r="2186" spans="1:10" ht="12.75" outlineLevel="2">
      <c r="A2186" s="645">
        <v>2142138159</v>
      </c>
      <c r="B2186" s="635" t="s">
        <v>1961</v>
      </c>
      <c r="C2186" s="635" t="s">
        <v>1806</v>
      </c>
      <c r="D2186" s="635"/>
      <c r="E2186" s="635" t="s">
        <v>1494</v>
      </c>
      <c r="F2186" s="465" t="s">
        <v>96</v>
      </c>
      <c r="G2186" s="466">
        <v>0.7</v>
      </c>
      <c r="H2186" s="466">
        <v>0.714</v>
      </c>
      <c r="I2186" s="467">
        <v>0.714</v>
      </c>
      <c r="J2186" s="468">
        <v>0</v>
      </c>
    </row>
    <row r="2187" spans="1:10" ht="12.75" outlineLevel="2">
      <c r="A2187" s="645">
        <v>2142138160</v>
      </c>
      <c r="B2187" s="635" t="s">
        <v>972</v>
      </c>
      <c r="C2187" s="635" t="s">
        <v>1806</v>
      </c>
      <c r="D2187" s="635"/>
      <c r="E2187" s="635" t="s">
        <v>1494</v>
      </c>
      <c r="F2187" s="465" t="s">
        <v>1845</v>
      </c>
      <c r="G2187" s="466">
        <v>4.17</v>
      </c>
      <c r="H2187" s="466">
        <v>3.75</v>
      </c>
      <c r="I2187" s="467">
        <v>3.75</v>
      </c>
      <c r="J2187" s="468">
        <v>0</v>
      </c>
    </row>
    <row r="2188" spans="1:10" ht="12.75" outlineLevel="2">
      <c r="A2188" s="645">
        <v>2142138161</v>
      </c>
      <c r="B2188" s="635" t="s">
        <v>1962</v>
      </c>
      <c r="C2188" s="635" t="s">
        <v>1802</v>
      </c>
      <c r="D2188" s="635"/>
      <c r="E2188" s="635" t="s">
        <v>1533</v>
      </c>
      <c r="F2188" s="465" t="s">
        <v>96</v>
      </c>
      <c r="G2188" s="466">
        <v>10.774</v>
      </c>
      <c r="H2188" s="466">
        <v>0</v>
      </c>
      <c r="I2188" s="467">
        <v>0</v>
      </c>
      <c r="J2188" s="468">
        <v>0</v>
      </c>
    </row>
    <row r="2189" spans="1:10" ht="12.75" outlineLevel="2">
      <c r="A2189" s="645">
        <v>2142138162</v>
      </c>
      <c r="B2189" s="635" t="s">
        <v>1963</v>
      </c>
      <c r="C2189" s="635" t="s">
        <v>1777</v>
      </c>
      <c r="D2189" s="635"/>
      <c r="E2189" s="635" t="s">
        <v>1533</v>
      </c>
      <c r="F2189" s="465" t="s">
        <v>96</v>
      </c>
      <c r="G2189" s="466">
        <v>0.2</v>
      </c>
      <c r="H2189" s="466">
        <v>0</v>
      </c>
      <c r="I2189" s="467">
        <v>0</v>
      </c>
      <c r="J2189" s="468">
        <v>0</v>
      </c>
    </row>
    <row r="2190" spans="1:10" ht="12.75" outlineLevel="2">
      <c r="A2190" s="645">
        <v>2142138163</v>
      </c>
      <c r="B2190" s="635" t="s">
        <v>1964</v>
      </c>
      <c r="C2190" s="635" t="s">
        <v>1777</v>
      </c>
      <c r="D2190" s="635"/>
      <c r="E2190" s="635" t="s">
        <v>1533</v>
      </c>
      <c r="F2190" s="465" t="s">
        <v>96</v>
      </c>
      <c r="G2190" s="466">
        <v>0.7</v>
      </c>
      <c r="H2190" s="466">
        <v>0</v>
      </c>
      <c r="I2190" s="467">
        <v>0</v>
      </c>
      <c r="J2190" s="468">
        <v>0</v>
      </c>
    </row>
    <row r="2191" spans="1:10" ht="12.75" outlineLevel="2">
      <c r="A2191" s="645">
        <v>2142138164</v>
      </c>
      <c r="B2191" s="635" t="s">
        <v>1965</v>
      </c>
      <c r="C2191" s="635" t="s">
        <v>1777</v>
      </c>
      <c r="D2191" s="635"/>
      <c r="E2191" s="635" t="s">
        <v>1533</v>
      </c>
      <c r="F2191" s="465" t="s">
        <v>96</v>
      </c>
      <c r="G2191" s="466">
        <v>0.35</v>
      </c>
      <c r="H2191" s="466">
        <v>0</v>
      </c>
      <c r="I2191" s="467">
        <v>0</v>
      </c>
      <c r="J2191" s="468">
        <v>0</v>
      </c>
    </row>
    <row r="2192" spans="1:10" ht="12.75" outlineLevel="2">
      <c r="A2192" s="645">
        <v>2142138165</v>
      </c>
      <c r="B2192" s="635" t="s">
        <v>1966</v>
      </c>
      <c r="C2192" s="635" t="s">
        <v>1777</v>
      </c>
      <c r="D2192" s="635"/>
      <c r="E2192" s="635" t="s">
        <v>1533</v>
      </c>
      <c r="F2192" s="465" t="s">
        <v>96</v>
      </c>
      <c r="G2192" s="466">
        <v>0.46</v>
      </c>
      <c r="H2192" s="466">
        <v>0</v>
      </c>
      <c r="I2192" s="467">
        <v>0</v>
      </c>
      <c r="J2192" s="468">
        <v>0</v>
      </c>
    </row>
    <row r="2193" spans="1:10" ht="12.75" outlineLevel="2">
      <c r="A2193" s="645">
        <v>2142138166</v>
      </c>
      <c r="B2193" s="635" t="s">
        <v>1967</v>
      </c>
      <c r="C2193" s="635" t="s">
        <v>1777</v>
      </c>
      <c r="D2193" s="635"/>
      <c r="E2193" s="635" t="s">
        <v>1533</v>
      </c>
      <c r="F2193" s="465" t="s">
        <v>96</v>
      </c>
      <c r="G2193" s="466">
        <v>1.59</v>
      </c>
      <c r="H2193" s="466">
        <v>0</v>
      </c>
      <c r="I2193" s="467">
        <v>0</v>
      </c>
      <c r="J2193" s="468">
        <v>0</v>
      </c>
    </row>
    <row r="2194" spans="1:10" ht="12.75" outlineLevel="2">
      <c r="A2194" s="645">
        <v>2142138167</v>
      </c>
      <c r="B2194" s="635" t="s">
        <v>1864</v>
      </c>
      <c r="C2194" s="635" t="s">
        <v>1777</v>
      </c>
      <c r="D2194" s="635"/>
      <c r="E2194" s="635" t="s">
        <v>1533</v>
      </c>
      <c r="F2194" s="465" t="s">
        <v>96</v>
      </c>
      <c r="G2194" s="466">
        <v>0.2</v>
      </c>
      <c r="H2194" s="466">
        <v>0</v>
      </c>
      <c r="I2194" s="467">
        <v>0</v>
      </c>
      <c r="J2194" s="468">
        <v>0</v>
      </c>
    </row>
    <row r="2195" spans="1:10" ht="12.75" outlineLevel="2">
      <c r="A2195" s="645">
        <v>2142138168</v>
      </c>
      <c r="B2195" s="635" t="s">
        <v>1968</v>
      </c>
      <c r="C2195" s="635" t="s">
        <v>1802</v>
      </c>
      <c r="D2195" s="635"/>
      <c r="E2195" s="635" t="s">
        <v>1494</v>
      </c>
      <c r="F2195" s="465" t="s">
        <v>96</v>
      </c>
      <c r="G2195" s="466">
        <v>5</v>
      </c>
      <c r="H2195" s="466">
        <v>4.995</v>
      </c>
      <c r="I2195" s="467">
        <v>4.995</v>
      </c>
      <c r="J2195" s="468">
        <v>0</v>
      </c>
    </row>
    <row r="2196" spans="1:10" ht="12.75" outlineLevel="2">
      <c r="A2196" s="645">
        <v>2142138169</v>
      </c>
      <c r="B2196" s="635" t="s">
        <v>1906</v>
      </c>
      <c r="C2196" s="635" t="s">
        <v>1782</v>
      </c>
      <c r="D2196" s="635"/>
      <c r="E2196" s="635" t="s">
        <v>1533</v>
      </c>
      <c r="F2196" s="465" t="s">
        <v>96</v>
      </c>
      <c r="G2196" s="466">
        <v>17.5</v>
      </c>
      <c r="H2196" s="466">
        <v>0</v>
      </c>
      <c r="I2196" s="467">
        <v>0</v>
      </c>
      <c r="J2196" s="468">
        <v>0</v>
      </c>
    </row>
    <row r="2197" spans="1:10" ht="12.75" outlineLevel="2">
      <c r="A2197" s="645">
        <v>2142138170</v>
      </c>
      <c r="B2197" s="635" t="s">
        <v>1969</v>
      </c>
      <c r="C2197" s="635" t="s">
        <v>1796</v>
      </c>
      <c r="D2197" s="635"/>
      <c r="E2197" s="635" t="s">
        <v>1494</v>
      </c>
      <c r="F2197" s="465" t="s">
        <v>96</v>
      </c>
      <c r="G2197" s="466">
        <v>5.5</v>
      </c>
      <c r="H2197" s="466">
        <v>0.001</v>
      </c>
      <c r="I2197" s="467">
        <v>0.001</v>
      </c>
      <c r="J2197" s="468">
        <v>0</v>
      </c>
    </row>
    <row r="2198" spans="1:10" ht="12.75" outlineLevel="2">
      <c r="A2198" s="645">
        <v>2142138171</v>
      </c>
      <c r="B2198" s="635" t="s">
        <v>1970</v>
      </c>
      <c r="C2198" s="635" t="s">
        <v>1786</v>
      </c>
      <c r="D2198" s="635"/>
      <c r="E2198" s="635" t="s">
        <v>1494</v>
      </c>
      <c r="F2198" s="465" t="s">
        <v>96</v>
      </c>
      <c r="G2198" s="466">
        <v>5.5</v>
      </c>
      <c r="H2198" s="466">
        <v>5.423</v>
      </c>
      <c r="I2198" s="467">
        <v>5.423</v>
      </c>
      <c r="J2198" s="468">
        <v>0</v>
      </c>
    </row>
    <row r="2199" spans="1:10" ht="12.75" outlineLevel="2">
      <c r="A2199" s="645">
        <v>2142138172</v>
      </c>
      <c r="B2199" s="635" t="s">
        <v>1906</v>
      </c>
      <c r="C2199" s="635" t="s">
        <v>1804</v>
      </c>
      <c r="D2199" s="635"/>
      <c r="E2199" s="635" t="s">
        <v>1494</v>
      </c>
      <c r="F2199" s="465" t="s">
        <v>1845</v>
      </c>
      <c r="G2199" s="466">
        <v>0</v>
      </c>
      <c r="H2199" s="466">
        <v>0.009</v>
      </c>
      <c r="I2199" s="467">
        <v>0.008</v>
      </c>
      <c r="J2199" s="468">
        <v>0.001</v>
      </c>
    </row>
    <row r="2200" spans="1:10" ht="12.75" outlineLevel="2">
      <c r="A2200" s="645">
        <v>2142138172</v>
      </c>
      <c r="B2200" s="635" t="s">
        <v>1906</v>
      </c>
      <c r="C2200" s="635" t="s">
        <v>1804</v>
      </c>
      <c r="D2200" s="635"/>
      <c r="E2200" s="635" t="s">
        <v>1494</v>
      </c>
      <c r="F2200" s="465" t="s">
        <v>96</v>
      </c>
      <c r="G2200" s="466">
        <v>13.8</v>
      </c>
      <c r="H2200" s="466">
        <v>15.987</v>
      </c>
      <c r="I2200" s="467">
        <v>15.987</v>
      </c>
      <c r="J2200" s="468">
        <v>0</v>
      </c>
    </row>
    <row r="2201" spans="1:10" ht="12.75" outlineLevel="2">
      <c r="A2201" s="645">
        <v>2142138173</v>
      </c>
      <c r="B2201" s="635" t="s">
        <v>1654</v>
      </c>
      <c r="C2201" s="635" t="s">
        <v>1788</v>
      </c>
      <c r="D2201" s="635"/>
      <c r="E2201" s="635" t="s">
        <v>1494</v>
      </c>
      <c r="F2201" s="465" t="s">
        <v>96</v>
      </c>
      <c r="G2201" s="466">
        <v>4.7</v>
      </c>
      <c r="H2201" s="466">
        <v>4.794</v>
      </c>
      <c r="I2201" s="467">
        <v>4.794</v>
      </c>
      <c r="J2201" s="468">
        <v>0</v>
      </c>
    </row>
    <row r="2202" spans="1:10" ht="12.75" outlineLevel="2">
      <c r="A2202" s="645">
        <v>2142138174</v>
      </c>
      <c r="B2202" s="635" t="s">
        <v>1655</v>
      </c>
      <c r="C2202" s="635" t="s">
        <v>1784</v>
      </c>
      <c r="D2202" s="635"/>
      <c r="E2202" s="635" t="s">
        <v>1494</v>
      </c>
      <c r="F2202" s="465" t="s">
        <v>96</v>
      </c>
      <c r="G2202" s="466">
        <v>5</v>
      </c>
      <c r="H2202" s="466">
        <v>5</v>
      </c>
      <c r="I2202" s="467">
        <v>5</v>
      </c>
      <c r="J2202" s="468">
        <v>0</v>
      </c>
    </row>
    <row r="2203" spans="1:10" ht="12.75" outlineLevel="2">
      <c r="A2203" s="645">
        <v>2142138175</v>
      </c>
      <c r="B2203" s="635" t="s">
        <v>1656</v>
      </c>
      <c r="C2203" s="635" t="s">
        <v>1794</v>
      </c>
      <c r="D2203" s="635"/>
      <c r="E2203" s="635" t="s">
        <v>1494</v>
      </c>
      <c r="F2203" s="465" t="s">
        <v>96</v>
      </c>
      <c r="G2203" s="466">
        <v>4.5</v>
      </c>
      <c r="H2203" s="466">
        <v>4.273</v>
      </c>
      <c r="I2203" s="467">
        <v>4.272</v>
      </c>
      <c r="J2203" s="468">
        <v>0.001</v>
      </c>
    </row>
    <row r="2204" spans="1:10" ht="12.75" outlineLevel="2">
      <c r="A2204" s="645">
        <v>2142138177</v>
      </c>
      <c r="B2204" s="635" t="s">
        <v>1657</v>
      </c>
      <c r="C2204" s="635" t="s">
        <v>1802</v>
      </c>
      <c r="D2204" s="635"/>
      <c r="E2204" s="635" t="s">
        <v>1494</v>
      </c>
      <c r="F2204" s="465" t="s">
        <v>332</v>
      </c>
      <c r="G2204" s="466">
        <v>0</v>
      </c>
      <c r="H2204" s="466">
        <v>0</v>
      </c>
      <c r="I2204" s="467">
        <v>0.002</v>
      </c>
      <c r="J2204" s="468">
        <v>0</v>
      </c>
    </row>
    <row r="2205" spans="1:10" ht="12.75" outlineLevel="2">
      <c r="A2205" s="645">
        <v>2142138178</v>
      </c>
      <c r="B2205" s="635" t="s">
        <v>1874</v>
      </c>
      <c r="C2205" s="635" t="s">
        <v>1802</v>
      </c>
      <c r="D2205" s="635"/>
      <c r="E2205" s="635" t="s">
        <v>1494</v>
      </c>
      <c r="F2205" s="465" t="s">
        <v>96</v>
      </c>
      <c r="G2205" s="466">
        <v>0</v>
      </c>
      <c r="H2205" s="466">
        <v>4.482</v>
      </c>
      <c r="I2205" s="467">
        <v>4.481</v>
      </c>
      <c r="J2205" s="468">
        <v>0.001</v>
      </c>
    </row>
    <row r="2206" spans="1:10" ht="12.75" outlineLevel="2">
      <c r="A2206" s="645">
        <v>2142138179</v>
      </c>
      <c r="B2206" s="635" t="s">
        <v>1658</v>
      </c>
      <c r="C2206" s="635" t="s">
        <v>1782</v>
      </c>
      <c r="D2206" s="635"/>
      <c r="E2206" s="635" t="s">
        <v>1494</v>
      </c>
      <c r="F2206" s="465" t="s">
        <v>96</v>
      </c>
      <c r="G2206" s="466">
        <v>0</v>
      </c>
      <c r="H2206" s="466">
        <v>0.059</v>
      </c>
      <c r="I2206" s="467">
        <v>0.059</v>
      </c>
      <c r="J2206" s="468">
        <v>0</v>
      </c>
    </row>
    <row r="2207" spans="1:10" ht="12.75" outlineLevel="2">
      <c r="A2207" s="645">
        <v>2142138180</v>
      </c>
      <c r="B2207" s="635" t="s">
        <v>948</v>
      </c>
      <c r="C2207" s="635" t="s">
        <v>1806</v>
      </c>
      <c r="D2207" s="635"/>
      <c r="E2207" s="635" t="s">
        <v>1494</v>
      </c>
      <c r="F2207" s="465" t="s">
        <v>96</v>
      </c>
      <c r="G2207" s="466">
        <v>0</v>
      </c>
      <c r="H2207" s="466">
        <v>3.876</v>
      </c>
      <c r="I2207" s="467">
        <v>3.875</v>
      </c>
      <c r="J2207" s="468">
        <v>0.001</v>
      </c>
    </row>
    <row r="2208" spans="1:10" ht="12.75" outlineLevel="2">
      <c r="A2208" s="645">
        <v>2142138181</v>
      </c>
      <c r="B2208" s="635" t="s">
        <v>1659</v>
      </c>
      <c r="C2208" s="635" t="s">
        <v>1802</v>
      </c>
      <c r="D2208" s="635"/>
      <c r="E2208" s="635" t="s">
        <v>1494</v>
      </c>
      <c r="F2208" s="465" t="s">
        <v>96</v>
      </c>
      <c r="G2208" s="466">
        <v>0</v>
      </c>
      <c r="H2208" s="466">
        <v>14.946</v>
      </c>
      <c r="I2208" s="467">
        <v>14.945</v>
      </c>
      <c r="J2208" s="468">
        <v>0.001</v>
      </c>
    </row>
    <row r="2209" spans="1:10" ht="12.75" outlineLevel="2">
      <c r="A2209" s="645">
        <v>2142138182</v>
      </c>
      <c r="B2209" s="635" t="s">
        <v>1660</v>
      </c>
      <c r="C2209" s="635" t="s">
        <v>1786</v>
      </c>
      <c r="D2209" s="635"/>
      <c r="E2209" s="635" t="s">
        <v>1494</v>
      </c>
      <c r="F2209" s="465" t="s">
        <v>333</v>
      </c>
      <c r="G2209" s="466">
        <v>0</v>
      </c>
      <c r="H2209" s="466">
        <v>0</v>
      </c>
      <c r="I2209" s="467">
        <v>0.15</v>
      </c>
      <c r="J2209" s="468">
        <v>0</v>
      </c>
    </row>
    <row r="2210" spans="1:10" ht="12.75" outlineLevel="2">
      <c r="A2210" s="645">
        <v>2142138183</v>
      </c>
      <c r="B2210" s="635" t="s">
        <v>1661</v>
      </c>
      <c r="C2210" s="635" t="s">
        <v>1786</v>
      </c>
      <c r="D2210" s="635"/>
      <c r="E2210" s="635" t="s">
        <v>1494</v>
      </c>
      <c r="F2210" s="465" t="s">
        <v>333</v>
      </c>
      <c r="G2210" s="466">
        <v>0</v>
      </c>
      <c r="H2210" s="466">
        <v>0</v>
      </c>
      <c r="I2210" s="467">
        <v>3.451</v>
      </c>
      <c r="J2210" s="468">
        <v>0</v>
      </c>
    </row>
    <row r="2211" spans="1:10" ht="12.75" outlineLevel="2">
      <c r="A2211" s="645">
        <v>2142138184</v>
      </c>
      <c r="B2211" s="635" t="s">
        <v>1662</v>
      </c>
      <c r="C2211" s="635" t="s">
        <v>1780</v>
      </c>
      <c r="D2211" s="635"/>
      <c r="E2211" s="635" t="s">
        <v>1494</v>
      </c>
      <c r="F2211" s="465" t="s">
        <v>96</v>
      </c>
      <c r="G2211" s="466">
        <v>0</v>
      </c>
      <c r="H2211" s="466">
        <v>20</v>
      </c>
      <c r="I2211" s="467">
        <v>19.999</v>
      </c>
      <c r="J2211" s="468">
        <v>0.001</v>
      </c>
    </row>
    <row r="2212" spans="1:10" ht="12.75" outlineLevel="2">
      <c r="A2212" s="645">
        <v>2142138185</v>
      </c>
      <c r="B2212" s="635" t="s">
        <v>1663</v>
      </c>
      <c r="C2212" s="635" t="s">
        <v>1798</v>
      </c>
      <c r="D2212" s="635"/>
      <c r="E2212" s="635" t="s">
        <v>1494</v>
      </c>
      <c r="F2212" s="465" t="s">
        <v>96</v>
      </c>
      <c r="G2212" s="466">
        <v>0</v>
      </c>
      <c r="H2212" s="466">
        <v>2.501</v>
      </c>
      <c r="I2212" s="467">
        <v>2.5</v>
      </c>
      <c r="J2212" s="468">
        <v>0.001</v>
      </c>
    </row>
    <row r="2213" spans="1:10" ht="12.75" outlineLevel="2">
      <c r="A2213" s="645">
        <v>2142138186</v>
      </c>
      <c r="B2213" s="635" t="s">
        <v>1664</v>
      </c>
      <c r="C2213" s="635" t="s">
        <v>1777</v>
      </c>
      <c r="D2213" s="635"/>
      <c r="E2213" s="635" t="s">
        <v>1494</v>
      </c>
      <c r="F2213" s="465" t="s">
        <v>96</v>
      </c>
      <c r="G2213" s="466">
        <v>0</v>
      </c>
      <c r="H2213" s="466">
        <v>0.134</v>
      </c>
      <c r="I2213" s="467">
        <v>0.133</v>
      </c>
      <c r="J2213" s="468">
        <v>0.001</v>
      </c>
    </row>
    <row r="2214" spans="1:10" ht="12.75" outlineLevel="2">
      <c r="A2214" s="645">
        <v>2142138187</v>
      </c>
      <c r="B2214" s="635" t="s">
        <v>1665</v>
      </c>
      <c r="C2214" s="635" t="s">
        <v>1796</v>
      </c>
      <c r="D2214" s="635"/>
      <c r="E2214" s="635" t="s">
        <v>1494</v>
      </c>
      <c r="F2214" s="465" t="s">
        <v>96</v>
      </c>
      <c r="G2214" s="466">
        <v>0</v>
      </c>
      <c r="H2214" s="466">
        <v>1.9</v>
      </c>
      <c r="I2214" s="467">
        <v>1.9</v>
      </c>
      <c r="J2214" s="468">
        <v>0</v>
      </c>
    </row>
    <row r="2215" spans="1:10" ht="12.75" outlineLevel="2">
      <c r="A2215" s="645">
        <v>2142138188</v>
      </c>
      <c r="B2215" s="635" t="s">
        <v>1666</v>
      </c>
      <c r="C2215" s="635" t="s">
        <v>1796</v>
      </c>
      <c r="D2215" s="635"/>
      <c r="E2215" s="635" t="s">
        <v>1494</v>
      </c>
      <c r="F2215" s="465" t="s">
        <v>96</v>
      </c>
      <c r="G2215" s="466">
        <v>0</v>
      </c>
      <c r="H2215" s="466">
        <v>1.799</v>
      </c>
      <c r="I2215" s="467">
        <v>1.799</v>
      </c>
      <c r="J2215" s="468">
        <v>0</v>
      </c>
    </row>
    <row r="2216" spans="1:10" ht="12.75" outlineLevel="2">
      <c r="A2216" s="645">
        <v>2142138189</v>
      </c>
      <c r="B2216" s="635" t="s">
        <v>1667</v>
      </c>
      <c r="C2216" s="635" t="s">
        <v>1794</v>
      </c>
      <c r="D2216" s="635"/>
      <c r="E2216" s="635" t="s">
        <v>1494</v>
      </c>
      <c r="F2216" s="465" t="s">
        <v>333</v>
      </c>
      <c r="G2216" s="466">
        <v>0</v>
      </c>
      <c r="H2216" s="466">
        <v>0</v>
      </c>
      <c r="I2216" s="467">
        <v>0.138</v>
      </c>
      <c r="J2216" s="468">
        <v>0</v>
      </c>
    </row>
    <row r="2217" spans="1:10" ht="12.75" outlineLevel="2">
      <c r="A2217" s="645">
        <v>2142138190</v>
      </c>
      <c r="B2217" s="635" t="s">
        <v>1668</v>
      </c>
      <c r="C2217" s="635" t="s">
        <v>1796</v>
      </c>
      <c r="D2217" s="635"/>
      <c r="E2217" s="635" t="s">
        <v>1494</v>
      </c>
      <c r="F2217" s="465" t="s">
        <v>96</v>
      </c>
      <c r="G2217" s="466">
        <v>0</v>
      </c>
      <c r="H2217" s="466">
        <v>1.884</v>
      </c>
      <c r="I2217" s="467">
        <v>1.884</v>
      </c>
      <c r="J2217" s="468">
        <v>0</v>
      </c>
    </row>
    <row r="2218" spans="1:10" ht="12.75" outlineLevel="2">
      <c r="A2218" s="645">
        <v>2142138191</v>
      </c>
      <c r="B2218" s="635" t="s">
        <v>1669</v>
      </c>
      <c r="C2218" s="635" t="s">
        <v>1800</v>
      </c>
      <c r="D2218" s="635"/>
      <c r="E2218" s="635" t="s">
        <v>1494</v>
      </c>
      <c r="F2218" s="465" t="s">
        <v>96</v>
      </c>
      <c r="G2218" s="466">
        <v>0</v>
      </c>
      <c r="H2218" s="466">
        <v>7.196</v>
      </c>
      <c r="I2218" s="467">
        <v>7.196</v>
      </c>
      <c r="J2218" s="468">
        <v>0</v>
      </c>
    </row>
    <row r="2219" spans="1:10" ht="12.75" outlineLevel="2">
      <c r="A2219" s="645">
        <v>2142138192</v>
      </c>
      <c r="B2219" s="635" t="s">
        <v>1670</v>
      </c>
      <c r="C2219" s="635" t="s">
        <v>1802</v>
      </c>
      <c r="D2219" s="635"/>
      <c r="E2219" s="635" t="s">
        <v>1494</v>
      </c>
      <c r="F2219" s="465" t="s">
        <v>96</v>
      </c>
      <c r="G2219" s="466">
        <v>0</v>
      </c>
      <c r="H2219" s="466">
        <v>7.278</v>
      </c>
      <c r="I2219" s="467">
        <v>7.278</v>
      </c>
      <c r="J2219" s="468">
        <v>0</v>
      </c>
    </row>
    <row r="2220" spans="1:10" ht="12.75" outlineLevel="2">
      <c r="A2220" s="645">
        <v>2142138193</v>
      </c>
      <c r="B2220" s="635" t="s">
        <v>1671</v>
      </c>
      <c r="C2220" s="635" t="s">
        <v>1794</v>
      </c>
      <c r="D2220" s="635"/>
      <c r="E2220" s="635" t="s">
        <v>1494</v>
      </c>
      <c r="F2220" s="465" t="s">
        <v>96</v>
      </c>
      <c r="G2220" s="466">
        <v>0</v>
      </c>
      <c r="H2220" s="466">
        <v>7.05</v>
      </c>
      <c r="I2220" s="467">
        <v>7.05</v>
      </c>
      <c r="J2220" s="468">
        <v>0</v>
      </c>
    </row>
    <row r="2221" spans="1:10" ht="12.75" outlineLevel="2">
      <c r="A2221" s="645">
        <v>2142138194</v>
      </c>
      <c r="B2221" s="635" t="s">
        <v>1672</v>
      </c>
      <c r="C2221" s="635" t="s">
        <v>1798</v>
      </c>
      <c r="D2221" s="635"/>
      <c r="E2221" s="635" t="s">
        <v>1494</v>
      </c>
      <c r="F2221" s="465" t="s">
        <v>333</v>
      </c>
      <c r="G2221" s="466">
        <v>0</v>
      </c>
      <c r="H2221" s="466">
        <v>0</v>
      </c>
      <c r="I2221" s="467">
        <v>0.053</v>
      </c>
      <c r="J2221" s="468">
        <v>0</v>
      </c>
    </row>
    <row r="2222" spans="1:10" ht="12.75" outlineLevel="2">
      <c r="A2222" s="645">
        <v>2142138195</v>
      </c>
      <c r="B2222" s="635" t="s">
        <v>1673</v>
      </c>
      <c r="C2222" s="635" t="s">
        <v>1798</v>
      </c>
      <c r="D2222" s="635"/>
      <c r="E2222" s="635" t="s">
        <v>1494</v>
      </c>
      <c r="F2222" s="465" t="s">
        <v>333</v>
      </c>
      <c r="G2222" s="466">
        <v>0</v>
      </c>
      <c r="H2222" s="466">
        <v>0</v>
      </c>
      <c r="I2222" s="467">
        <v>0.699</v>
      </c>
      <c r="J2222" s="468">
        <v>0</v>
      </c>
    </row>
    <row r="2223" spans="1:10" ht="12.75" outlineLevel="2">
      <c r="A2223" s="645">
        <v>2142138196</v>
      </c>
      <c r="B2223" s="635" t="s">
        <v>1674</v>
      </c>
      <c r="C2223" s="635" t="s">
        <v>1802</v>
      </c>
      <c r="D2223" s="635"/>
      <c r="E2223" s="635" t="s">
        <v>1494</v>
      </c>
      <c r="F2223" s="465" t="s">
        <v>333</v>
      </c>
      <c r="G2223" s="466">
        <v>0</v>
      </c>
      <c r="H2223" s="466">
        <v>0</v>
      </c>
      <c r="I2223" s="467">
        <v>0.32</v>
      </c>
      <c r="J2223" s="468">
        <v>0</v>
      </c>
    </row>
    <row r="2224" spans="1:10" ht="12.75" outlineLevel="2">
      <c r="A2224" s="645">
        <v>2142138197</v>
      </c>
      <c r="B2224" s="635" t="s">
        <v>1675</v>
      </c>
      <c r="C2224" s="635" t="s">
        <v>1788</v>
      </c>
      <c r="D2224" s="635"/>
      <c r="E2224" s="635" t="s">
        <v>1494</v>
      </c>
      <c r="F2224" s="465" t="s">
        <v>333</v>
      </c>
      <c r="G2224" s="466">
        <v>0</v>
      </c>
      <c r="H2224" s="466">
        <v>0</v>
      </c>
      <c r="I2224" s="467">
        <v>0.941</v>
      </c>
      <c r="J2224" s="468">
        <v>0</v>
      </c>
    </row>
    <row r="2225" spans="1:10" ht="12.75" outlineLevel="2">
      <c r="A2225" s="645">
        <v>2142138198</v>
      </c>
      <c r="B2225" s="635" t="s">
        <v>1676</v>
      </c>
      <c r="C2225" s="635" t="s">
        <v>1788</v>
      </c>
      <c r="D2225" s="635"/>
      <c r="E2225" s="635" t="s">
        <v>1494</v>
      </c>
      <c r="F2225" s="465" t="s">
        <v>96</v>
      </c>
      <c r="G2225" s="466">
        <v>0</v>
      </c>
      <c r="H2225" s="466">
        <v>9.283</v>
      </c>
      <c r="I2225" s="467">
        <v>9.283</v>
      </c>
      <c r="J2225" s="468">
        <v>0</v>
      </c>
    </row>
    <row r="2226" spans="1:10" ht="12.75" outlineLevel="2">
      <c r="A2226" s="645">
        <v>2142138199</v>
      </c>
      <c r="B2226" s="635" t="s">
        <v>1677</v>
      </c>
      <c r="C2226" s="635" t="s">
        <v>1780</v>
      </c>
      <c r="D2226" s="635"/>
      <c r="E2226" s="635" t="s">
        <v>1494</v>
      </c>
      <c r="F2226" s="465" t="s">
        <v>96</v>
      </c>
      <c r="G2226" s="466">
        <v>0</v>
      </c>
      <c r="H2226" s="466">
        <v>17.085</v>
      </c>
      <c r="I2226" s="467">
        <v>17.085</v>
      </c>
      <c r="J2226" s="468">
        <v>0</v>
      </c>
    </row>
    <row r="2227" spans="1:10" ht="12.75" outlineLevel="2">
      <c r="A2227" s="645">
        <v>2142138200</v>
      </c>
      <c r="B2227" s="635" t="s">
        <v>1678</v>
      </c>
      <c r="C2227" s="635" t="s">
        <v>1780</v>
      </c>
      <c r="D2227" s="635"/>
      <c r="E2227" s="635" t="s">
        <v>1494</v>
      </c>
      <c r="F2227" s="465" t="s">
        <v>96</v>
      </c>
      <c r="G2227" s="466">
        <v>0</v>
      </c>
      <c r="H2227" s="466">
        <v>3.58</v>
      </c>
      <c r="I2227" s="467">
        <v>3.58</v>
      </c>
      <c r="J2227" s="468">
        <v>0</v>
      </c>
    </row>
    <row r="2228" spans="1:10" ht="12.75" outlineLevel="2">
      <c r="A2228" s="645">
        <v>2142138201</v>
      </c>
      <c r="B2228" s="635" t="s">
        <v>1670</v>
      </c>
      <c r="C2228" s="635" t="s">
        <v>1780</v>
      </c>
      <c r="D2228" s="635"/>
      <c r="E2228" s="635" t="s">
        <v>1494</v>
      </c>
      <c r="F2228" s="465" t="s">
        <v>96</v>
      </c>
      <c r="G2228" s="466">
        <v>0</v>
      </c>
      <c r="H2228" s="466">
        <v>7.285</v>
      </c>
      <c r="I2228" s="467">
        <v>7.285</v>
      </c>
      <c r="J2228" s="468">
        <v>0</v>
      </c>
    </row>
    <row r="2229" spans="1:10" ht="12.75" outlineLevel="2">
      <c r="A2229" s="645">
        <v>2142138202</v>
      </c>
      <c r="B2229" s="635" t="s">
        <v>1670</v>
      </c>
      <c r="C2229" s="635" t="s">
        <v>1782</v>
      </c>
      <c r="D2229" s="635"/>
      <c r="E2229" s="635" t="s">
        <v>1494</v>
      </c>
      <c r="F2229" s="465" t="s">
        <v>1845</v>
      </c>
      <c r="G2229" s="466">
        <v>0</v>
      </c>
      <c r="H2229" s="466">
        <v>0.022</v>
      </c>
      <c r="I2229" s="467">
        <v>0.021</v>
      </c>
      <c r="J2229" s="468">
        <v>0.001</v>
      </c>
    </row>
    <row r="2230" spans="1:10" ht="12.75" outlineLevel="2">
      <c r="A2230" s="645">
        <v>2142138202</v>
      </c>
      <c r="B2230" s="635" t="s">
        <v>1670</v>
      </c>
      <c r="C2230" s="635" t="s">
        <v>1782</v>
      </c>
      <c r="D2230" s="635"/>
      <c r="E2230" s="635" t="s">
        <v>1494</v>
      </c>
      <c r="F2230" s="465" t="s">
        <v>96</v>
      </c>
      <c r="G2230" s="466">
        <v>0</v>
      </c>
      <c r="H2230" s="466">
        <v>7.255</v>
      </c>
      <c r="I2230" s="467">
        <v>7.254</v>
      </c>
      <c r="J2230" s="468">
        <v>0.001</v>
      </c>
    </row>
    <row r="2231" spans="1:10" ht="12.75" outlineLevel="2">
      <c r="A2231" s="645">
        <v>2142138203</v>
      </c>
      <c r="B2231" s="635" t="s">
        <v>1670</v>
      </c>
      <c r="C2231" s="635" t="s">
        <v>1800</v>
      </c>
      <c r="D2231" s="635"/>
      <c r="E2231" s="635" t="s">
        <v>1494</v>
      </c>
      <c r="F2231" s="465" t="s">
        <v>96</v>
      </c>
      <c r="G2231" s="466">
        <v>0</v>
      </c>
      <c r="H2231" s="466">
        <v>7.278</v>
      </c>
      <c r="I2231" s="467">
        <v>7.278</v>
      </c>
      <c r="J2231" s="468">
        <v>0</v>
      </c>
    </row>
    <row r="2232" spans="1:10" ht="12.75" outlineLevel="2">
      <c r="A2232" s="645">
        <v>2142138204</v>
      </c>
      <c r="B2232" s="635" t="s">
        <v>1670</v>
      </c>
      <c r="C2232" s="635" t="s">
        <v>1786</v>
      </c>
      <c r="D2232" s="635"/>
      <c r="E2232" s="635" t="s">
        <v>1494</v>
      </c>
      <c r="F2232" s="465" t="s">
        <v>1845</v>
      </c>
      <c r="G2232" s="466">
        <v>0</v>
      </c>
      <c r="H2232" s="466">
        <v>0.022</v>
      </c>
      <c r="I2232" s="467">
        <v>0.02</v>
      </c>
      <c r="J2232" s="468">
        <v>0.002</v>
      </c>
    </row>
    <row r="2233" spans="1:10" ht="12.75" outlineLevel="2">
      <c r="A2233" s="645">
        <v>2142138204</v>
      </c>
      <c r="B2233" s="635" t="s">
        <v>1670</v>
      </c>
      <c r="C2233" s="635" t="s">
        <v>1786</v>
      </c>
      <c r="D2233" s="635"/>
      <c r="E2233" s="635" t="s">
        <v>1494</v>
      </c>
      <c r="F2233" s="465" t="s">
        <v>96</v>
      </c>
      <c r="G2233" s="466">
        <v>0</v>
      </c>
      <c r="H2233" s="466">
        <v>7.256</v>
      </c>
      <c r="I2233" s="467">
        <v>7.255</v>
      </c>
      <c r="J2233" s="468">
        <v>0.001</v>
      </c>
    </row>
    <row r="2234" spans="1:10" ht="12.75" outlineLevel="2">
      <c r="A2234" s="645">
        <v>2142138205</v>
      </c>
      <c r="B2234" s="635" t="s">
        <v>1670</v>
      </c>
      <c r="C2234" s="635" t="s">
        <v>1804</v>
      </c>
      <c r="D2234" s="635"/>
      <c r="E2234" s="635" t="s">
        <v>1494</v>
      </c>
      <c r="F2234" s="465" t="s">
        <v>1845</v>
      </c>
      <c r="G2234" s="466">
        <v>0</v>
      </c>
      <c r="H2234" s="466">
        <v>0.005</v>
      </c>
      <c r="I2234" s="467">
        <v>0.004</v>
      </c>
      <c r="J2234" s="468">
        <v>0.001</v>
      </c>
    </row>
    <row r="2235" spans="1:10" ht="12.75" outlineLevel="2">
      <c r="A2235" s="645">
        <v>2142138205</v>
      </c>
      <c r="B2235" s="635" t="s">
        <v>1670</v>
      </c>
      <c r="C2235" s="635" t="s">
        <v>1804</v>
      </c>
      <c r="D2235" s="635"/>
      <c r="E2235" s="635" t="s">
        <v>1494</v>
      </c>
      <c r="F2235" s="465" t="s">
        <v>96</v>
      </c>
      <c r="G2235" s="466">
        <v>0</v>
      </c>
      <c r="H2235" s="466">
        <v>7.192</v>
      </c>
      <c r="I2235" s="467">
        <v>7.192</v>
      </c>
      <c r="J2235" s="468">
        <v>0</v>
      </c>
    </row>
    <row r="2236" spans="1:10" ht="12.75" outlineLevel="2">
      <c r="A2236" s="645">
        <v>2142138206</v>
      </c>
      <c r="B2236" s="635" t="s">
        <v>1670</v>
      </c>
      <c r="C2236" s="635" t="s">
        <v>1792</v>
      </c>
      <c r="D2236" s="635"/>
      <c r="E2236" s="635" t="s">
        <v>1494</v>
      </c>
      <c r="F2236" s="465" t="s">
        <v>96</v>
      </c>
      <c r="G2236" s="466">
        <v>0</v>
      </c>
      <c r="H2236" s="466">
        <v>7.278</v>
      </c>
      <c r="I2236" s="467">
        <v>7.278</v>
      </c>
      <c r="J2236" s="468">
        <v>0</v>
      </c>
    </row>
    <row r="2237" spans="1:10" ht="12.75" outlineLevel="2">
      <c r="A2237" s="645">
        <v>2142138207</v>
      </c>
      <c r="B2237" s="635" t="s">
        <v>1670</v>
      </c>
      <c r="C2237" s="635" t="s">
        <v>1790</v>
      </c>
      <c r="D2237" s="635"/>
      <c r="E2237" s="635" t="s">
        <v>1494</v>
      </c>
      <c r="F2237" s="465" t="s">
        <v>96</v>
      </c>
      <c r="G2237" s="466">
        <v>0</v>
      </c>
      <c r="H2237" s="466">
        <v>7.278</v>
      </c>
      <c r="I2237" s="467">
        <v>7.276</v>
      </c>
      <c r="J2237" s="468">
        <v>0.002</v>
      </c>
    </row>
    <row r="2238" spans="1:10" ht="12.75" outlineLevel="2">
      <c r="A2238" s="645">
        <v>2142138208</v>
      </c>
      <c r="B2238" s="635" t="s">
        <v>1670</v>
      </c>
      <c r="C2238" s="635" t="s">
        <v>1798</v>
      </c>
      <c r="D2238" s="635"/>
      <c r="E2238" s="635" t="s">
        <v>1494</v>
      </c>
      <c r="F2238" s="465" t="s">
        <v>1845</v>
      </c>
      <c r="G2238" s="466">
        <v>0</v>
      </c>
      <c r="H2238" s="466">
        <v>0.098</v>
      </c>
      <c r="I2238" s="467">
        <v>0.098</v>
      </c>
      <c r="J2238" s="468">
        <v>0</v>
      </c>
    </row>
    <row r="2239" spans="1:10" ht="12.75" outlineLevel="2">
      <c r="A2239" s="645">
        <v>2142138208</v>
      </c>
      <c r="B2239" s="635" t="s">
        <v>1670</v>
      </c>
      <c r="C2239" s="635" t="s">
        <v>1798</v>
      </c>
      <c r="D2239" s="635"/>
      <c r="E2239" s="635" t="s">
        <v>1494</v>
      </c>
      <c r="F2239" s="465" t="s">
        <v>96</v>
      </c>
      <c r="G2239" s="466">
        <v>0</v>
      </c>
      <c r="H2239" s="466">
        <v>7.18</v>
      </c>
      <c r="I2239" s="467">
        <v>7.177</v>
      </c>
      <c r="J2239" s="468">
        <v>0.003</v>
      </c>
    </row>
    <row r="2240" spans="1:10" ht="12.75" outlineLevel="2">
      <c r="A2240" s="645">
        <v>2142138209</v>
      </c>
      <c r="B2240" s="635" t="s">
        <v>1670</v>
      </c>
      <c r="C2240" s="635" t="s">
        <v>1788</v>
      </c>
      <c r="D2240" s="635"/>
      <c r="E2240" s="635" t="s">
        <v>1494</v>
      </c>
      <c r="F2240" s="465" t="s">
        <v>96</v>
      </c>
      <c r="G2240" s="466">
        <v>0</v>
      </c>
      <c r="H2240" s="466">
        <v>7.277</v>
      </c>
      <c r="I2240" s="467">
        <v>7.277</v>
      </c>
      <c r="J2240" s="468">
        <v>0</v>
      </c>
    </row>
    <row r="2241" spans="1:10" ht="12.75" outlineLevel="2">
      <c r="A2241" s="645">
        <v>2142138210</v>
      </c>
      <c r="B2241" s="635" t="s">
        <v>1670</v>
      </c>
      <c r="C2241" s="635" t="s">
        <v>1784</v>
      </c>
      <c r="D2241" s="635"/>
      <c r="E2241" s="635" t="s">
        <v>1494</v>
      </c>
      <c r="F2241" s="465" t="s">
        <v>96</v>
      </c>
      <c r="G2241" s="466">
        <v>0</v>
      </c>
      <c r="H2241" s="466">
        <v>7.196</v>
      </c>
      <c r="I2241" s="467">
        <v>7.196</v>
      </c>
      <c r="J2241" s="468">
        <v>0</v>
      </c>
    </row>
    <row r="2242" spans="1:10" ht="12.75" outlineLevel="2">
      <c r="A2242" s="645">
        <v>2142138211</v>
      </c>
      <c r="B2242" s="635" t="s">
        <v>1670</v>
      </c>
      <c r="C2242" s="635" t="s">
        <v>1806</v>
      </c>
      <c r="D2242" s="635"/>
      <c r="E2242" s="635" t="s">
        <v>1494</v>
      </c>
      <c r="F2242" s="465" t="s">
        <v>96</v>
      </c>
      <c r="G2242" s="466">
        <v>0</v>
      </c>
      <c r="H2242" s="466">
        <v>7.196</v>
      </c>
      <c r="I2242" s="467">
        <v>7.196</v>
      </c>
      <c r="J2242" s="468">
        <v>0</v>
      </c>
    </row>
    <row r="2243" spans="1:10" ht="12.75" outlineLevel="2">
      <c r="A2243" s="645">
        <v>2142138212</v>
      </c>
      <c r="B2243" s="635" t="s">
        <v>1670</v>
      </c>
      <c r="C2243" s="635" t="s">
        <v>1796</v>
      </c>
      <c r="D2243" s="635"/>
      <c r="E2243" s="635" t="s">
        <v>1494</v>
      </c>
      <c r="F2243" s="465" t="s">
        <v>1845</v>
      </c>
      <c r="G2243" s="466">
        <v>0</v>
      </c>
      <c r="H2243" s="466">
        <v>0.017</v>
      </c>
      <c r="I2243" s="467">
        <v>0.017</v>
      </c>
      <c r="J2243" s="468">
        <v>0</v>
      </c>
    </row>
    <row r="2244" spans="1:10" ht="12.75" outlineLevel="2">
      <c r="A2244" s="645">
        <v>2142138212</v>
      </c>
      <c r="B2244" s="635" t="s">
        <v>1670</v>
      </c>
      <c r="C2244" s="635" t="s">
        <v>1796</v>
      </c>
      <c r="D2244" s="635"/>
      <c r="E2244" s="635" t="s">
        <v>1494</v>
      </c>
      <c r="F2244" s="465" t="s">
        <v>96</v>
      </c>
      <c r="G2244" s="466">
        <v>0</v>
      </c>
      <c r="H2244" s="466">
        <v>7.214</v>
      </c>
      <c r="I2244" s="467">
        <v>7.213</v>
      </c>
      <c r="J2244" s="468">
        <v>0.001</v>
      </c>
    </row>
    <row r="2245" spans="1:10" ht="12.75" outlineLevel="2">
      <c r="A2245" s="645">
        <v>2142138213</v>
      </c>
      <c r="B2245" s="635" t="s">
        <v>1670</v>
      </c>
      <c r="C2245" s="635" t="s">
        <v>1794</v>
      </c>
      <c r="D2245" s="635"/>
      <c r="E2245" s="635" t="s">
        <v>1494</v>
      </c>
      <c r="F2245" s="465" t="s">
        <v>96</v>
      </c>
      <c r="G2245" s="466">
        <v>0</v>
      </c>
      <c r="H2245" s="466">
        <v>7.278</v>
      </c>
      <c r="I2245" s="467">
        <v>7.277</v>
      </c>
      <c r="J2245" s="468">
        <v>0.001</v>
      </c>
    </row>
    <row r="2246" spans="1:10" ht="12.75" outlineLevel="2">
      <c r="A2246" s="645">
        <v>2142138214</v>
      </c>
      <c r="B2246" s="635" t="s">
        <v>1679</v>
      </c>
      <c r="C2246" s="635" t="s">
        <v>1777</v>
      </c>
      <c r="D2246" s="635"/>
      <c r="E2246" s="635" t="s">
        <v>1494</v>
      </c>
      <c r="F2246" s="465" t="s">
        <v>96</v>
      </c>
      <c r="G2246" s="466">
        <v>0</v>
      </c>
      <c r="H2246" s="466">
        <v>2.082</v>
      </c>
      <c r="I2246" s="467">
        <v>2.081</v>
      </c>
      <c r="J2246" s="468">
        <v>0.001</v>
      </c>
    </row>
    <row r="2247" spans="1:10" ht="12.75" outlineLevel="2">
      <c r="A2247" s="645">
        <v>2142138215</v>
      </c>
      <c r="B2247" s="635" t="s">
        <v>1679</v>
      </c>
      <c r="C2247" s="635" t="s">
        <v>1780</v>
      </c>
      <c r="D2247" s="635"/>
      <c r="E2247" s="635" t="s">
        <v>1494</v>
      </c>
      <c r="F2247" s="465" t="s">
        <v>96</v>
      </c>
      <c r="G2247" s="466">
        <v>0</v>
      </c>
      <c r="H2247" s="466">
        <v>2.884</v>
      </c>
      <c r="I2247" s="467">
        <v>2.883</v>
      </c>
      <c r="J2247" s="468">
        <v>0.001</v>
      </c>
    </row>
    <row r="2248" spans="1:10" ht="12.75" outlineLevel="2">
      <c r="A2248" s="645">
        <v>2142138216</v>
      </c>
      <c r="B2248" s="635" t="s">
        <v>1679</v>
      </c>
      <c r="C2248" s="635" t="s">
        <v>1802</v>
      </c>
      <c r="D2248" s="635"/>
      <c r="E2248" s="635" t="s">
        <v>1494</v>
      </c>
      <c r="F2248" s="465" t="s">
        <v>96</v>
      </c>
      <c r="G2248" s="466">
        <v>0</v>
      </c>
      <c r="H2248" s="466">
        <v>8.65</v>
      </c>
      <c r="I2248" s="467">
        <v>8.65</v>
      </c>
      <c r="J2248" s="468">
        <v>0</v>
      </c>
    </row>
    <row r="2249" spans="1:10" ht="12.75" outlineLevel="2">
      <c r="A2249" s="645">
        <v>2142138217</v>
      </c>
      <c r="B2249" s="635" t="s">
        <v>1679</v>
      </c>
      <c r="C2249" s="635" t="s">
        <v>1782</v>
      </c>
      <c r="D2249" s="635"/>
      <c r="E2249" s="635" t="s">
        <v>1494</v>
      </c>
      <c r="F2249" s="465" t="s">
        <v>96</v>
      </c>
      <c r="G2249" s="466">
        <v>0</v>
      </c>
      <c r="H2249" s="466">
        <v>3.229</v>
      </c>
      <c r="I2249" s="467">
        <v>3.228</v>
      </c>
      <c r="J2249" s="468">
        <v>0.001</v>
      </c>
    </row>
    <row r="2250" spans="1:10" ht="12.75" outlineLevel="2">
      <c r="A2250" s="645">
        <v>2142138218</v>
      </c>
      <c r="B2250" s="635" t="s">
        <v>1680</v>
      </c>
      <c r="C2250" s="635" t="s">
        <v>1782</v>
      </c>
      <c r="D2250" s="635"/>
      <c r="E2250" s="635" t="s">
        <v>1494</v>
      </c>
      <c r="F2250" s="465" t="s">
        <v>96</v>
      </c>
      <c r="G2250" s="466">
        <v>0</v>
      </c>
      <c r="H2250" s="466">
        <v>2.6</v>
      </c>
      <c r="I2250" s="467">
        <v>2.598</v>
      </c>
      <c r="J2250" s="468">
        <v>0.002</v>
      </c>
    </row>
    <row r="2251" spans="1:10" ht="12.75" outlineLevel="2">
      <c r="A2251" s="645">
        <v>2142138219</v>
      </c>
      <c r="B2251" s="635" t="s">
        <v>1679</v>
      </c>
      <c r="C2251" s="635" t="s">
        <v>1800</v>
      </c>
      <c r="D2251" s="635"/>
      <c r="E2251" s="635" t="s">
        <v>1494</v>
      </c>
      <c r="F2251" s="465" t="s">
        <v>96</v>
      </c>
      <c r="G2251" s="466">
        <v>0</v>
      </c>
      <c r="H2251" s="466">
        <v>8.778</v>
      </c>
      <c r="I2251" s="467">
        <v>8.777</v>
      </c>
      <c r="J2251" s="468">
        <v>0.001</v>
      </c>
    </row>
    <row r="2252" spans="1:10" ht="12.75" outlineLevel="2">
      <c r="A2252" s="645">
        <v>2142138220</v>
      </c>
      <c r="B2252" s="635" t="s">
        <v>1679</v>
      </c>
      <c r="C2252" s="635" t="s">
        <v>1786</v>
      </c>
      <c r="D2252" s="635"/>
      <c r="E2252" s="635" t="s">
        <v>1494</v>
      </c>
      <c r="F2252" s="465" t="s">
        <v>96</v>
      </c>
      <c r="G2252" s="466">
        <v>0</v>
      </c>
      <c r="H2252" s="466">
        <v>2.884</v>
      </c>
      <c r="I2252" s="467">
        <v>2.884</v>
      </c>
      <c r="J2252" s="468">
        <v>0</v>
      </c>
    </row>
    <row r="2253" spans="1:10" ht="12.75" outlineLevel="2">
      <c r="A2253" s="645">
        <v>2142138221</v>
      </c>
      <c r="B2253" s="635" t="s">
        <v>1679</v>
      </c>
      <c r="C2253" s="635" t="s">
        <v>1804</v>
      </c>
      <c r="D2253" s="635"/>
      <c r="E2253" s="635" t="s">
        <v>1494</v>
      </c>
      <c r="F2253" s="465" t="s">
        <v>1845</v>
      </c>
      <c r="G2253" s="466">
        <v>0</v>
      </c>
      <c r="H2253" s="466">
        <v>0.058</v>
      </c>
      <c r="I2253" s="467">
        <v>0.057</v>
      </c>
      <c r="J2253" s="468">
        <v>0.001</v>
      </c>
    </row>
    <row r="2254" spans="1:10" ht="12.75" outlineLevel="2">
      <c r="A2254" s="645">
        <v>2142138221</v>
      </c>
      <c r="B2254" s="635" t="s">
        <v>1679</v>
      </c>
      <c r="C2254" s="635" t="s">
        <v>1804</v>
      </c>
      <c r="D2254" s="635"/>
      <c r="E2254" s="635" t="s">
        <v>1494</v>
      </c>
      <c r="F2254" s="465" t="s">
        <v>96</v>
      </c>
      <c r="G2254" s="466">
        <v>0</v>
      </c>
      <c r="H2254" s="466">
        <v>3.154</v>
      </c>
      <c r="I2254" s="467">
        <v>3.154</v>
      </c>
      <c r="J2254" s="468">
        <v>0</v>
      </c>
    </row>
    <row r="2255" spans="1:10" ht="12.75" outlineLevel="2">
      <c r="A2255" s="645">
        <v>2142138222</v>
      </c>
      <c r="B2255" s="635" t="s">
        <v>1681</v>
      </c>
      <c r="C2255" s="635" t="s">
        <v>1804</v>
      </c>
      <c r="D2255" s="635"/>
      <c r="E2255" s="635" t="s">
        <v>1494</v>
      </c>
      <c r="F2255" s="465" t="s">
        <v>96</v>
      </c>
      <c r="G2255" s="466">
        <v>0</v>
      </c>
      <c r="H2255" s="466">
        <v>2.378</v>
      </c>
      <c r="I2255" s="467">
        <v>2.378</v>
      </c>
      <c r="J2255" s="468">
        <v>0</v>
      </c>
    </row>
    <row r="2256" spans="1:10" ht="12.75" outlineLevel="2">
      <c r="A2256" s="645">
        <v>2142138223</v>
      </c>
      <c r="B2256" s="635" t="s">
        <v>1679</v>
      </c>
      <c r="C2256" s="635" t="s">
        <v>1792</v>
      </c>
      <c r="D2256" s="635"/>
      <c r="E2256" s="635" t="s">
        <v>1494</v>
      </c>
      <c r="F2256" s="465" t="s">
        <v>96</v>
      </c>
      <c r="G2256" s="466">
        <v>0</v>
      </c>
      <c r="H2256" s="466">
        <v>1.363</v>
      </c>
      <c r="I2256" s="467">
        <v>1.362</v>
      </c>
      <c r="J2256" s="468">
        <v>0.001</v>
      </c>
    </row>
    <row r="2257" spans="1:10" ht="12.75" outlineLevel="2">
      <c r="A2257" s="645">
        <v>2142138224</v>
      </c>
      <c r="B2257" s="635" t="s">
        <v>1679</v>
      </c>
      <c r="C2257" s="635" t="s">
        <v>1790</v>
      </c>
      <c r="D2257" s="635"/>
      <c r="E2257" s="635" t="s">
        <v>1494</v>
      </c>
      <c r="F2257" s="465" t="s">
        <v>96</v>
      </c>
      <c r="G2257" s="466">
        <v>0</v>
      </c>
      <c r="H2257" s="466">
        <v>2.839</v>
      </c>
      <c r="I2257" s="467">
        <v>2.838</v>
      </c>
      <c r="J2257" s="468">
        <v>0.001</v>
      </c>
    </row>
    <row r="2258" spans="1:10" ht="12.75" outlineLevel="2">
      <c r="A2258" s="645">
        <v>2142138225</v>
      </c>
      <c r="B2258" s="635" t="s">
        <v>1679</v>
      </c>
      <c r="C2258" s="635" t="s">
        <v>1798</v>
      </c>
      <c r="D2258" s="635"/>
      <c r="E2258" s="635" t="s">
        <v>1494</v>
      </c>
      <c r="F2258" s="465" t="s">
        <v>96</v>
      </c>
      <c r="G2258" s="466">
        <v>0</v>
      </c>
      <c r="H2258" s="466">
        <v>1.655</v>
      </c>
      <c r="I2258" s="467">
        <v>1.653</v>
      </c>
      <c r="J2258" s="468">
        <v>0.002</v>
      </c>
    </row>
    <row r="2259" spans="1:10" ht="12.75" outlineLevel="2">
      <c r="A2259" s="645">
        <v>2142138226</v>
      </c>
      <c r="B2259" s="635" t="s">
        <v>1679</v>
      </c>
      <c r="C2259" s="635" t="s">
        <v>1788</v>
      </c>
      <c r="D2259" s="635"/>
      <c r="E2259" s="635" t="s">
        <v>1494</v>
      </c>
      <c r="F2259" s="465" t="s">
        <v>96</v>
      </c>
      <c r="G2259" s="466">
        <v>0</v>
      </c>
      <c r="H2259" s="466">
        <v>2.84</v>
      </c>
      <c r="I2259" s="467">
        <v>2.839</v>
      </c>
      <c r="J2259" s="468">
        <v>0.001</v>
      </c>
    </row>
    <row r="2260" spans="1:10" ht="12.75" outlineLevel="2">
      <c r="A2260" s="645">
        <v>2142138227</v>
      </c>
      <c r="B2260" s="635" t="s">
        <v>1679</v>
      </c>
      <c r="C2260" s="635" t="s">
        <v>1784</v>
      </c>
      <c r="D2260" s="635"/>
      <c r="E2260" s="635" t="s">
        <v>1494</v>
      </c>
      <c r="F2260" s="465" t="s">
        <v>96</v>
      </c>
      <c r="G2260" s="466">
        <v>0</v>
      </c>
      <c r="H2260" s="466">
        <v>4.821</v>
      </c>
      <c r="I2260" s="467">
        <v>4.82</v>
      </c>
      <c r="J2260" s="468">
        <v>0.001</v>
      </c>
    </row>
    <row r="2261" spans="1:10" ht="12.75" outlineLevel="2">
      <c r="A2261" s="645">
        <v>2142138228</v>
      </c>
      <c r="B2261" s="635" t="s">
        <v>1679</v>
      </c>
      <c r="C2261" s="635" t="s">
        <v>1796</v>
      </c>
      <c r="D2261" s="635"/>
      <c r="E2261" s="635" t="s">
        <v>1494</v>
      </c>
      <c r="F2261" s="465" t="s">
        <v>96</v>
      </c>
      <c r="G2261" s="466">
        <v>0</v>
      </c>
      <c r="H2261" s="466">
        <v>2.975</v>
      </c>
      <c r="I2261" s="467">
        <v>2.974</v>
      </c>
      <c r="J2261" s="468">
        <v>0.001</v>
      </c>
    </row>
    <row r="2262" spans="1:10" ht="12.75" outlineLevel="2">
      <c r="A2262" s="645">
        <v>2142138229</v>
      </c>
      <c r="B2262" s="635" t="s">
        <v>1679</v>
      </c>
      <c r="C2262" s="635" t="s">
        <v>1806</v>
      </c>
      <c r="D2262" s="635"/>
      <c r="E2262" s="635" t="s">
        <v>1494</v>
      </c>
      <c r="F2262" s="465" t="s">
        <v>96</v>
      </c>
      <c r="G2262" s="466">
        <v>0</v>
      </c>
      <c r="H2262" s="466">
        <v>2.929</v>
      </c>
      <c r="I2262" s="467">
        <v>2.929</v>
      </c>
      <c r="J2262" s="468">
        <v>0</v>
      </c>
    </row>
    <row r="2263" spans="1:10" ht="12.75" outlineLevel="2">
      <c r="A2263" s="645">
        <v>2142138230</v>
      </c>
      <c r="B2263" s="635" t="s">
        <v>1679</v>
      </c>
      <c r="C2263" s="635" t="s">
        <v>1794</v>
      </c>
      <c r="D2263" s="635"/>
      <c r="E2263" s="635" t="s">
        <v>1494</v>
      </c>
      <c r="F2263" s="465" t="s">
        <v>96</v>
      </c>
      <c r="G2263" s="466">
        <v>0</v>
      </c>
      <c r="H2263" s="466">
        <v>4.821</v>
      </c>
      <c r="I2263" s="467">
        <v>4.82</v>
      </c>
      <c r="J2263" s="468">
        <v>0.001</v>
      </c>
    </row>
    <row r="2264" spans="1:10" ht="12.75" outlineLevel="2">
      <c r="A2264" s="645">
        <v>2142138231</v>
      </c>
      <c r="B2264" s="635" t="s">
        <v>1682</v>
      </c>
      <c r="C2264" s="635" t="s">
        <v>1798</v>
      </c>
      <c r="D2264" s="635"/>
      <c r="E2264" s="635" t="s">
        <v>1494</v>
      </c>
      <c r="F2264" s="465" t="s">
        <v>333</v>
      </c>
      <c r="G2264" s="466">
        <v>0</v>
      </c>
      <c r="H2264" s="466">
        <v>0</v>
      </c>
      <c r="I2264" s="467">
        <v>0.3</v>
      </c>
      <c r="J2264" s="468">
        <v>0</v>
      </c>
    </row>
    <row r="2265" spans="1:10" ht="12.75" outlineLevel="2">
      <c r="A2265" s="645">
        <v>2142138232</v>
      </c>
      <c r="B2265" s="635" t="s">
        <v>1683</v>
      </c>
      <c r="C2265" s="635" t="s">
        <v>1798</v>
      </c>
      <c r="D2265" s="635"/>
      <c r="E2265" s="635" t="s">
        <v>1494</v>
      </c>
      <c r="F2265" s="465" t="s">
        <v>333</v>
      </c>
      <c r="G2265" s="466">
        <v>0</v>
      </c>
      <c r="H2265" s="466">
        <v>0</v>
      </c>
      <c r="I2265" s="467">
        <v>0.054</v>
      </c>
      <c r="J2265" s="468">
        <v>0</v>
      </c>
    </row>
    <row r="2266" spans="1:10" ht="12.75" outlineLevel="2">
      <c r="A2266" s="645">
        <v>2142138233</v>
      </c>
      <c r="B2266" s="635" t="s">
        <v>1684</v>
      </c>
      <c r="C2266" s="635" t="s">
        <v>1798</v>
      </c>
      <c r="D2266" s="635"/>
      <c r="E2266" s="635" t="s">
        <v>1494</v>
      </c>
      <c r="F2266" s="465" t="s">
        <v>96</v>
      </c>
      <c r="G2266" s="466">
        <v>0</v>
      </c>
      <c r="H2266" s="466">
        <v>0.104</v>
      </c>
      <c r="I2266" s="467">
        <v>0.103</v>
      </c>
      <c r="J2266" s="468">
        <v>0.001</v>
      </c>
    </row>
    <row r="2267" spans="1:10" ht="12.75" outlineLevel="2">
      <c r="A2267" s="645">
        <v>2142138233</v>
      </c>
      <c r="B2267" s="635" t="s">
        <v>1684</v>
      </c>
      <c r="C2267" s="635" t="s">
        <v>1798</v>
      </c>
      <c r="D2267" s="635"/>
      <c r="E2267" s="635" t="s">
        <v>1494</v>
      </c>
      <c r="F2267" s="465" t="s">
        <v>333</v>
      </c>
      <c r="G2267" s="466">
        <v>0</v>
      </c>
      <c r="H2267" s="466">
        <v>0</v>
      </c>
      <c r="I2267" s="467">
        <v>0.753</v>
      </c>
      <c r="J2267" s="468">
        <v>0</v>
      </c>
    </row>
    <row r="2268" spans="1:10" ht="12.75" outlineLevel="2">
      <c r="A2268" s="645">
        <v>2142138234</v>
      </c>
      <c r="B2268" s="635" t="s">
        <v>1685</v>
      </c>
      <c r="C2268" s="635" t="s">
        <v>1788</v>
      </c>
      <c r="D2268" s="635"/>
      <c r="E2268" s="635" t="s">
        <v>1494</v>
      </c>
      <c r="F2268" s="465" t="s">
        <v>333</v>
      </c>
      <c r="G2268" s="466">
        <v>0</v>
      </c>
      <c r="H2268" s="466">
        <v>0</v>
      </c>
      <c r="I2268" s="467">
        <v>0.249</v>
      </c>
      <c r="J2268" s="468">
        <v>0</v>
      </c>
    </row>
    <row r="2269" spans="1:10" ht="12.75" outlineLevel="2">
      <c r="A2269" s="645">
        <v>2142138235</v>
      </c>
      <c r="B2269" s="635" t="s">
        <v>1686</v>
      </c>
      <c r="C2269" s="635" t="s">
        <v>1788</v>
      </c>
      <c r="D2269" s="635"/>
      <c r="E2269" s="635" t="s">
        <v>1494</v>
      </c>
      <c r="F2269" s="465" t="s">
        <v>332</v>
      </c>
      <c r="G2269" s="466">
        <v>0</v>
      </c>
      <c r="H2269" s="466">
        <v>0</v>
      </c>
      <c r="I2269" s="467">
        <v>0.015</v>
      </c>
      <c r="J2269" s="468">
        <v>0</v>
      </c>
    </row>
    <row r="2270" spans="1:10" ht="12.75" outlineLevel="2">
      <c r="A2270" s="645">
        <v>2142138235</v>
      </c>
      <c r="B2270" s="635" t="s">
        <v>1686</v>
      </c>
      <c r="C2270" s="635" t="s">
        <v>1788</v>
      </c>
      <c r="D2270" s="635"/>
      <c r="E2270" s="635" t="s">
        <v>1494</v>
      </c>
      <c r="F2270" s="465" t="s">
        <v>333</v>
      </c>
      <c r="G2270" s="466">
        <v>0</v>
      </c>
      <c r="H2270" s="466">
        <v>0</v>
      </c>
      <c r="I2270" s="467">
        <v>0.559</v>
      </c>
      <c r="J2270" s="468">
        <v>0</v>
      </c>
    </row>
    <row r="2271" spans="1:10" ht="12.75" outlineLevel="2">
      <c r="A2271" s="645">
        <v>2142138236</v>
      </c>
      <c r="B2271" s="635" t="s">
        <v>285</v>
      </c>
      <c r="C2271" s="635" t="s">
        <v>1790</v>
      </c>
      <c r="D2271" s="635"/>
      <c r="E2271" s="635" t="s">
        <v>1494</v>
      </c>
      <c r="F2271" s="465" t="s">
        <v>96</v>
      </c>
      <c r="G2271" s="466">
        <v>0</v>
      </c>
      <c r="H2271" s="466">
        <v>6.979</v>
      </c>
      <c r="I2271" s="467">
        <v>6.978</v>
      </c>
      <c r="J2271" s="468">
        <v>0.001</v>
      </c>
    </row>
    <row r="2272" spans="1:10" ht="12.75" outlineLevel="2">
      <c r="A2272" s="645">
        <v>2142138237</v>
      </c>
      <c r="B2272" s="635" t="s">
        <v>285</v>
      </c>
      <c r="C2272" s="635" t="s">
        <v>1788</v>
      </c>
      <c r="D2272" s="635"/>
      <c r="E2272" s="635" t="s">
        <v>1494</v>
      </c>
      <c r="F2272" s="465" t="s">
        <v>96</v>
      </c>
      <c r="G2272" s="466">
        <v>0</v>
      </c>
      <c r="H2272" s="466">
        <v>7.604</v>
      </c>
      <c r="I2272" s="467">
        <v>7.603</v>
      </c>
      <c r="J2272" s="468">
        <v>0.001</v>
      </c>
    </row>
    <row r="2273" spans="1:10" ht="12.75" outlineLevel="2">
      <c r="A2273" s="645">
        <v>2142138238</v>
      </c>
      <c r="B2273" s="635" t="s">
        <v>285</v>
      </c>
      <c r="C2273" s="635" t="s">
        <v>1796</v>
      </c>
      <c r="D2273" s="635"/>
      <c r="E2273" s="635" t="s">
        <v>1494</v>
      </c>
      <c r="F2273" s="465" t="s">
        <v>96</v>
      </c>
      <c r="G2273" s="466">
        <v>0</v>
      </c>
      <c r="H2273" s="466">
        <v>7.497</v>
      </c>
      <c r="I2273" s="467">
        <v>7.497</v>
      </c>
      <c r="J2273" s="468">
        <v>0</v>
      </c>
    </row>
    <row r="2274" spans="1:10" ht="12.75" outlineLevel="2">
      <c r="A2274" s="645">
        <v>2142138239</v>
      </c>
      <c r="B2274" s="635" t="s">
        <v>1687</v>
      </c>
      <c r="C2274" s="635" t="s">
        <v>1786</v>
      </c>
      <c r="D2274" s="635"/>
      <c r="E2274" s="635" t="s">
        <v>1494</v>
      </c>
      <c r="F2274" s="465" t="s">
        <v>333</v>
      </c>
      <c r="G2274" s="466">
        <v>0</v>
      </c>
      <c r="H2274" s="466">
        <v>0</v>
      </c>
      <c r="I2274" s="467">
        <v>0.2</v>
      </c>
      <c r="J2274" s="468">
        <v>0</v>
      </c>
    </row>
    <row r="2275" spans="1:10" ht="12.75" outlineLevel="2">
      <c r="A2275" s="645">
        <v>2142138240</v>
      </c>
      <c r="B2275" s="635" t="s">
        <v>1688</v>
      </c>
      <c r="C2275" s="635" t="s">
        <v>1786</v>
      </c>
      <c r="D2275" s="635"/>
      <c r="E2275" s="635" t="s">
        <v>1494</v>
      </c>
      <c r="F2275" s="465" t="s">
        <v>333</v>
      </c>
      <c r="G2275" s="466">
        <v>0</v>
      </c>
      <c r="H2275" s="466">
        <v>0</v>
      </c>
      <c r="I2275" s="467">
        <v>0.045</v>
      </c>
      <c r="J2275" s="468">
        <v>0</v>
      </c>
    </row>
    <row r="2276" spans="1:10" ht="12.75" outlineLevel="2">
      <c r="A2276" s="645">
        <v>2142138241</v>
      </c>
      <c r="B2276" s="635" t="s">
        <v>1689</v>
      </c>
      <c r="C2276" s="635" t="s">
        <v>1786</v>
      </c>
      <c r="D2276" s="635"/>
      <c r="E2276" s="635" t="s">
        <v>1494</v>
      </c>
      <c r="F2276" s="465" t="s">
        <v>333</v>
      </c>
      <c r="G2276" s="466">
        <v>0</v>
      </c>
      <c r="H2276" s="466">
        <v>0</v>
      </c>
      <c r="I2276" s="467">
        <v>0.29</v>
      </c>
      <c r="J2276" s="468">
        <v>0</v>
      </c>
    </row>
    <row r="2277" spans="1:10" ht="12.75" outlineLevel="2">
      <c r="A2277" s="645">
        <v>2142138242</v>
      </c>
      <c r="B2277" s="635" t="s">
        <v>1690</v>
      </c>
      <c r="C2277" s="635" t="s">
        <v>1786</v>
      </c>
      <c r="D2277" s="635"/>
      <c r="E2277" s="635" t="s">
        <v>1494</v>
      </c>
      <c r="F2277" s="465" t="s">
        <v>333</v>
      </c>
      <c r="G2277" s="466">
        <v>0</v>
      </c>
      <c r="H2277" s="466">
        <v>0</v>
      </c>
      <c r="I2277" s="467">
        <v>0.335</v>
      </c>
      <c r="J2277" s="468">
        <v>0</v>
      </c>
    </row>
    <row r="2278" spans="1:10" ht="12.75" outlineLevel="2">
      <c r="A2278" s="645">
        <v>2142138243</v>
      </c>
      <c r="B2278" s="635" t="s">
        <v>1691</v>
      </c>
      <c r="C2278" s="635" t="s">
        <v>1786</v>
      </c>
      <c r="D2278" s="635"/>
      <c r="E2278" s="635" t="s">
        <v>1494</v>
      </c>
      <c r="F2278" s="465" t="s">
        <v>333</v>
      </c>
      <c r="G2278" s="466">
        <v>0</v>
      </c>
      <c r="H2278" s="466">
        <v>0</v>
      </c>
      <c r="I2278" s="467">
        <v>0.457</v>
      </c>
      <c r="J2278" s="468">
        <v>0</v>
      </c>
    </row>
    <row r="2279" spans="1:10" ht="12.75" outlineLevel="2">
      <c r="A2279" s="645">
        <v>2142138244</v>
      </c>
      <c r="B2279" s="635" t="s">
        <v>1692</v>
      </c>
      <c r="C2279" s="635" t="s">
        <v>1794</v>
      </c>
      <c r="D2279" s="635"/>
      <c r="E2279" s="635" t="s">
        <v>1494</v>
      </c>
      <c r="F2279" s="465" t="s">
        <v>333</v>
      </c>
      <c r="G2279" s="466">
        <v>0</v>
      </c>
      <c r="H2279" s="466">
        <v>0</v>
      </c>
      <c r="I2279" s="467">
        <v>1.071</v>
      </c>
      <c r="J2279" s="468">
        <v>0</v>
      </c>
    </row>
    <row r="2280" spans="1:10" ht="12.75" outlineLevel="2">
      <c r="A2280" s="645">
        <v>2142138245</v>
      </c>
      <c r="B2280" s="635" t="s">
        <v>1693</v>
      </c>
      <c r="C2280" s="635" t="s">
        <v>1794</v>
      </c>
      <c r="D2280" s="635"/>
      <c r="E2280" s="635" t="s">
        <v>1494</v>
      </c>
      <c r="F2280" s="465" t="s">
        <v>333</v>
      </c>
      <c r="G2280" s="466">
        <v>0</v>
      </c>
      <c r="H2280" s="466">
        <v>0</v>
      </c>
      <c r="I2280" s="467">
        <v>2.372</v>
      </c>
      <c r="J2280" s="468">
        <v>0</v>
      </c>
    </row>
    <row r="2281" spans="1:10" ht="12.75" outlineLevel="2">
      <c r="A2281" s="645">
        <v>2142138246</v>
      </c>
      <c r="B2281" s="635" t="s">
        <v>1965</v>
      </c>
      <c r="C2281" s="635" t="s">
        <v>1786</v>
      </c>
      <c r="D2281" s="635"/>
      <c r="E2281" s="635" t="s">
        <v>1494</v>
      </c>
      <c r="F2281" s="465" t="s">
        <v>96</v>
      </c>
      <c r="G2281" s="466">
        <v>0</v>
      </c>
      <c r="H2281" s="466">
        <v>0.26</v>
      </c>
      <c r="I2281" s="467">
        <v>0.26</v>
      </c>
      <c r="J2281" s="468">
        <v>0</v>
      </c>
    </row>
    <row r="2282" spans="1:10" ht="12.75" outlineLevel="2">
      <c r="A2282" s="645">
        <v>2142138247</v>
      </c>
      <c r="B2282" s="635" t="s">
        <v>1694</v>
      </c>
      <c r="C2282" s="635" t="s">
        <v>1804</v>
      </c>
      <c r="D2282" s="635"/>
      <c r="E2282" s="635" t="s">
        <v>1494</v>
      </c>
      <c r="F2282" s="465" t="s">
        <v>96</v>
      </c>
      <c r="G2282" s="466">
        <v>0</v>
      </c>
      <c r="H2282" s="466">
        <v>0.09</v>
      </c>
      <c r="I2282" s="467">
        <v>0.089</v>
      </c>
      <c r="J2282" s="468">
        <v>0.001</v>
      </c>
    </row>
    <row r="2283" spans="1:10" ht="12.75" outlineLevel="2">
      <c r="A2283" s="645">
        <v>2142138248</v>
      </c>
      <c r="B2283" s="635" t="s">
        <v>1675</v>
      </c>
      <c r="C2283" s="635" t="s">
        <v>1796</v>
      </c>
      <c r="D2283" s="635"/>
      <c r="E2283" s="635" t="s">
        <v>1494</v>
      </c>
      <c r="F2283" s="465" t="s">
        <v>333</v>
      </c>
      <c r="G2283" s="466">
        <v>0</v>
      </c>
      <c r="H2283" s="466">
        <v>0</v>
      </c>
      <c r="I2283" s="467">
        <v>0.07</v>
      </c>
      <c r="J2283" s="468">
        <v>0</v>
      </c>
    </row>
    <row r="2284" spans="1:10" ht="12.75" outlineLevel="2">
      <c r="A2284" s="645">
        <v>2142138249</v>
      </c>
      <c r="B2284" s="635" t="s">
        <v>1695</v>
      </c>
      <c r="C2284" s="635" t="s">
        <v>1806</v>
      </c>
      <c r="D2284" s="635"/>
      <c r="E2284" s="635" t="s">
        <v>1494</v>
      </c>
      <c r="F2284" s="465" t="s">
        <v>333</v>
      </c>
      <c r="G2284" s="466">
        <v>0</v>
      </c>
      <c r="H2284" s="466">
        <v>0</v>
      </c>
      <c r="I2284" s="467">
        <v>0.49</v>
      </c>
      <c r="J2284" s="468">
        <v>0</v>
      </c>
    </row>
    <row r="2285" spans="1:10" ht="12.75" outlineLevel="2">
      <c r="A2285" s="645">
        <v>2142138250</v>
      </c>
      <c r="B2285" s="635" t="s">
        <v>1696</v>
      </c>
      <c r="C2285" s="635" t="s">
        <v>1790</v>
      </c>
      <c r="D2285" s="635"/>
      <c r="E2285" s="635" t="s">
        <v>1494</v>
      </c>
      <c r="F2285" s="465" t="s">
        <v>333</v>
      </c>
      <c r="G2285" s="466">
        <v>0</v>
      </c>
      <c r="H2285" s="466">
        <v>0</v>
      </c>
      <c r="I2285" s="467">
        <v>0.068</v>
      </c>
      <c r="J2285" s="468">
        <v>0</v>
      </c>
    </row>
    <row r="2286" spans="1:10" ht="12.75" outlineLevel="2">
      <c r="A2286" s="645">
        <v>2142138251</v>
      </c>
      <c r="B2286" s="635" t="s">
        <v>1697</v>
      </c>
      <c r="C2286" s="635" t="s">
        <v>1790</v>
      </c>
      <c r="D2286" s="635"/>
      <c r="E2286" s="635" t="s">
        <v>1494</v>
      </c>
      <c r="F2286" s="465" t="s">
        <v>96</v>
      </c>
      <c r="G2286" s="466">
        <v>0</v>
      </c>
      <c r="H2286" s="466">
        <v>0.02</v>
      </c>
      <c r="I2286" s="467">
        <v>0.02</v>
      </c>
      <c r="J2286" s="468">
        <v>0</v>
      </c>
    </row>
    <row r="2287" spans="1:10" ht="12.75" outlineLevel="2">
      <c r="A2287" s="645">
        <v>2142138251</v>
      </c>
      <c r="B2287" s="635" t="s">
        <v>1697</v>
      </c>
      <c r="C2287" s="635" t="s">
        <v>1790</v>
      </c>
      <c r="D2287" s="635"/>
      <c r="E2287" s="635" t="s">
        <v>1494</v>
      </c>
      <c r="F2287" s="465" t="s">
        <v>333</v>
      </c>
      <c r="G2287" s="466">
        <v>0</v>
      </c>
      <c r="H2287" s="466">
        <v>0</v>
      </c>
      <c r="I2287" s="467">
        <v>0.933</v>
      </c>
      <c r="J2287" s="468">
        <v>0</v>
      </c>
    </row>
    <row r="2288" spans="1:10" ht="12.75" outlineLevel="2">
      <c r="A2288" s="645">
        <v>2142138252</v>
      </c>
      <c r="B2288" s="635" t="s">
        <v>1698</v>
      </c>
      <c r="C2288" s="635" t="s">
        <v>1786</v>
      </c>
      <c r="D2288" s="635"/>
      <c r="E2288" s="635" t="s">
        <v>1494</v>
      </c>
      <c r="F2288" s="465" t="s">
        <v>96</v>
      </c>
      <c r="G2288" s="466">
        <v>0</v>
      </c>
      <c r="H2288" s="466">
        <v>0.072</v>
      </c>
      <c r="I2288" s="467">
        <v>0.072</v>
      </c>
      <c r="J2288" s="468">
        <v>0</v>
      </c>
    </row>
    <row r="2289" spans="1:10" ht="12.75" outlineLevel="2">
      <c r="A2289" s="645">
        <v>2142138253</v>
      </c>
      <c r="B2289" s="635" t="s">
        <v>1699</v>
      </c>
      <c r="C2289" s="635" t="s">
        <v>1800</v>
      </c>
      <c r="D2289" s="635"/>
      <c r="E2289" s="635" t="s">
        <v>1494</v>
      </c>
      <c r="F2289" s="465" t="s">
        <v>333</v>
      </c>
      <c r="G2289" s="466">
        <v>0</v>
      </c>
      <c r="H2289" s="466">
        <v>0</v>
      </c>
      <c r="I2289" s="467">
        <v>7.082</v>
      </c>
      <c r="J2289" s="468">
        <v>0</v>
      </c>
    </row>
    <row r="2290" spans="1:10" ht="12.75" outlineLevel="2">
      <c r="A2290" s="645">
        <v>2142138254</v>
      </c>
      <c r="B2290" s="635" t="s">
        <v>1700</v>
      </c>
      <c r="C2290" s="635" t="s">
        <v>1800</v>
      </c>
      <c r="D2290" s="635"/>
      <c r="E2290" s="635" t="s">
        <v>1494</v>
      </c>
      <c r="F2290" s="465" t="s">
        <v>96</v>
      </c>
      <c r="G2290" s="466">
        <v>0</v>
      </c>
      <c r="H2290" s="466">
        <v>0.137</v>
      </c>
      <c r="I2290" s="467">
        <v>0.136</v>
      </c>
      <c r="J2290" s="468">
        <v>0.001</v>
      </c>
    </row>
    <row r="2291" spans="1:10" ht="12.75" outlineLevel="2">
      <c r="A2291" s="645">
        <v>2142138258</v>
      </c>
      <c r="B2291" s="635" t="s">
        <v>1701</v>
      </c>
      <c r="C2291" s="635" t="s">
        <v>1806</v>
      </c>
      <c r="D2291" s="635"/>
      <c r="E2291" s="635" t="s">
        <v>1494</v>
      </c>
      <c r="F2291" s="465" t="s">
        <v>96</v>
      </c>
      <c r="G2291" s="466">
        <v>0</v>
      </c>
      <c r="H2291" s="466">
        <v>0.178</v>
      </c>
      <c r="I2291" s="467">
        <v>0.178</v>
      </c>
      <c r="J2291" s="468">
        <v>0</v>
      </c>
    </row>
    <row r="2292" spans="1:10" ht="12.75" outlineLevel="2">
      <c r="A2292" s="645">
        <v>2142138259</v>
      </c>
      <c r="B2292" s="635" t="s">
        <v>1875</v>
      </c>
      <c r="C2292" s="635" t="s">
        <v>1806</v>
      </c>
      <c r="D2292" s="635"/>
      <c r="E2292" s="635" t="s">
        <v>1494</v>
      </c>
      <c r="F2292" s="465" t="s">
        <v>96</v>
      </c>
      <c r="G2292" s="466">
        <v>0</v>
      </c>
      <c r="H2292" s="466">
        <v>0.07</v>
      </c>
      <c r="I2292" s="467">
        <v>0.07</v>
      </c>
      <c r="J2292" s="468">
        <v>0</v>
      </c>
    </row>
    <row r="2293" spans="1:10" ht="12.75" outlineLevel="2">
      <c r="A2293" s="645">
        <v>2142138260</v>
      </c>
      <c r="B2293" s="635" t="s">
        <v>1702</v>
      </c>
      <c r="C2293" s="635" t="s">
        <v>1792</v>
      </c>
      <c r="D2293" s="635"/>
      <c r="E2293" s="635" t="s">
        <v>1494</v>
      </c>
      <c r="F2293" s="465" t="s">
        <v>96</v>
      </c>
      <c r="G2293" s="466">
        <v>0</v>
      </c>
      <c r="H2293" s="466">
        <v>0.378</v>
      </c>
      <c r="I2293" s="467">
        <v>0.377</v>
      </c>
      <c r="J2293" s="468">
        <v>0.001</v>
      </c>
    </row>
    <row r="2294" spans="1:10" ht="12.75" outlineLevel="2">
      <c r="A2294" s="645">
        <v>2142138261</v>
      </c>
      <c r="B2294" s="635" t="s">
        <v>1703</v>
      </c>
      <c r="C2294" s="635" t="s">
        <v>1794</v>
      </c>
      <c r="D2294" s="635"/>
      <c r="E2294" s="635" t="s">
        <v>1494</v>
      </c>
      <c r="F2294" s="465" t="s">
        <v>96</v>
      </c>
      <c r="G2294" s="466">
        <v>0</v>
      </c>
      <c r="H2294" s="466">
        <v>2.049</v>
      </c>
      <c r="I2294" s="467">
        <v>2.048</v>
      </c>
      <c r="J2294" s="468">
        <v>0.001</v>
      </c>
    </row>
    <row r="2295" spans="1:10" ht="12.75" outlineLevel="2">
      <c r="A2295" s="645">
        <v>2142138262</v>
      </c>
      <c r="B2295" s="635" t="s">
        <v>1704</v>
      </c>
      <c r="C2295" s="635" t="s">
        <v>1794</v>
      </c>
      <c r="D2295" s="635"/>
      <c r="E2295" s="635" t="s">
        <v>1494</v>
      </c>
      <c r="F2295" s="465" t="s">
        <v>96</v>
      </c>
      <c r="G2295" s="466">
        <v>0</v>
      </c>
      <c r="H2295" s="466">
        <v>0.624</v>
      </c>
      <c r="I2295" s="467">
        <v>0.624</v>
      </c>
      <c r="J2295" s="468">
        <v>0</v>
      </c>
    </row>
    <row r="2296" spans="1:10" ht="12.75" outlineLevel="2">
      <c r="A2296" s="645">
        <v>2142138263</v>
      </c>
      <c r="B2296" s="635" t="s">
        <v>1705</v>
      </c>
      <c r="C2296" s="635" t="s">
        <v>1784</v>
      </c>
      <c r="D2296" s="635"/>
      <c r="E2296" s="635" t="s">
        <v>1494</v>
      </c>
      <c r="F2296" s="465" t="s">
        <v>96</v>
      </c>
      <c r="G2296" s="466">
        <v>0</v>
      </c>
      <c r="H2296" s="466">
        <v>13.996</v>
      </c>
      <c r="I2296" s="467">
        <v>13.995</v>
      </c>
      <c r="J2296" s="468">
        <v>0.001</v>
      </c>
    </row>
    <row r="2297" spans="1:10" ht="12.75" outlineLevel="2">
      <c r="A2297" s="645">
        <v>2142138264</v>
      </c>
      <c r="B2297" s="635" t="s">
        <v>1706</v>
      </c>
      <c r="C2297" s="635" t="s">
        <v>1796</v>
      </c>
      <c r="D2297" s="635"/>
      <c r="E2297" s="635" t="s">
        <v>1494</v>
      </c>
      <c r="F2297" s="465" t="s">
        <v>333</v>
      </c>
      <c r="G2297" s="466">
        <v>0</v>
      </c>
      <c r="H2297" s="466">
        <v>0</v>
      </c>
      <c r="I2297" s="467">
        <v>0.13</v>
      </c>
      <c r="J2297" s="468">
        <v>0</v>
      </c>
    </row>
    <row r="2298" spans="1:10" ht="12.75" outlineLevel="2">
      <c r="A2298" s="645">
        <v>2142138265</v>
      </c>
      <c r="B2298" s="635" t="s">
        <v>1707</v>
      </c>
      <c r="C2298" s="635" t="s">
        <v>1796</v>
      </c>
      <c r="D2298" s="635"/>
      <c r="E2298" s="635" t="s">
        <v>1494</v>
      </c>
      <c r="F2298" s="465" t="s">
        <v>333</v>
      </c>
      <c r="G2298" s="466">
        <v>0</v>
      </c>
      <c r="H2298" s="466">
        <v>0</v>
      </c>
      <c r="I2298" s="467">
        <v>0.12</v>
      </c>
      <c r="J2298" s="468">
        <v>0</v>
      </c>
    </row>
    <row r="2299" spans="1:10" ht="12.75" outlineLevel="2">
      <c r="A2299" s="645">
        <v>2142138266</v>
      </c>
      <c r="B2299" s="635" t="s">
        <v>1708</v>
      </c>
      <c r="C2299" s="635" t="s">
        <v>1788</v>
      </c>
      <c r="D2299" s="635"/>
      <c r="E2299" s="635" t="s">
        <v>1494</v>
      </c>
      <c r="F2299" s="465" t="s">
        <v>333</v>
      </c>
      <c r="G2299" s="466">
        <v>0</v>
      </c>
      <c r="H2299" s="466">
        <v>0</v>
      </c>
      <c r="I2299" s="467">
        <v>0.16</v>
      </c>
      <c r="J2299" s="468">
        <v>0</v>
      </c>
    </row>
    <row r="2300" spans="1:10" ht="12.75" outlineLevel="2">
      <c r="A2300" s="645">
        <v>2142138267</v>
      </c>
      <c r="B2300" s="635" t="s">
        <v>1709</v>
      </c>
      <c r="C2300" s="635" t="s">
        <v>1777</v>
      </c>
      <c r="D2300" s="635"/>
      <c r="E2300" s="635" t="s">
        <v>1494</v>
      </c>
      <c r="F2300" s="465" t="s">
        <v>96</v>
      </c>
      <c r="G2300" s="466">
        <v>0</v>
      </c>
      <c r="H2300" s="466">
        <v>0.09</v>
      </c>
      <c r="I2300" s="467">
        <v>0.09</v>
      </c>
      <c r="J2300" s="468">
        <v>0</v>
      </c>
    </row>
    <row r="2301" spans="1:10" ht="12.75" outlineLevel="2">
      <c r="A2301" s="645">
        <v>2142138268</v>
      </c>
      <c r="B2301" s="635" t="s">
        <v>1710</v>
      </c>
      <c r="C2301" s="635" t="s">
        <v>1777</v>
      </c>
      <c r="D2301" s="635"/>
      <c r="E2301" s="635" t="s">
        <v>1494</v>
      </c>
      <c r="F2301" s="465" t="s">
        <v>96</v>
      </c>
      <c r="G2301" s="466">
        <v>0</v>
      </c>
      <c r="H2301" s="466">
        <v>0.075</v>
      </c>
      <c r="I2301" s="467">
        <v>0.075</v>
      </c>
      <c r="J2301" s="468">
        <v>0</v>
      </c>
    </row>
    <row r="2302" spans="1:10" ht="12.75" outlineLevel="2">
      <c r="A2302" s="645">
        <v>2142138269</v>
      </c>
      <c r="B2302" s="635" t="s">
        <v>1711</v>
      </c>
      <c r="C2302" s="635" t="s">
        <v>1777</v>
      </c>
      <c r="D2302" s="635"/>
      <c r="E2302" s="635" t="s">
        <v>1494</v>
      </c>
      <c r="F2302" s="465" t="s">
        <v>96</v>
      </c>
      <c r="G2302" s="466">
        <v>0</v>
      </c>
      <c r="H2302" s="466">
        <v>0.069</v>
      </c>
      <c r="I2302" s="467">
        <v>0.068</v>
      </c>
      <c r="J2302" s="468">
        <v>0.001</v>
      </c>
    </row>
    <row r="2303" spans="1:10" ht="12.75" outlineLevel="2">
      <c r="A2303" s="645">
        <v>2142138270</v>
      </c>
      <c r="B2303" s="635" t="s">
        <v>1712</v>
      </c>
      <c r="C2303" s="635" t="s">
        <v>1798</v>
      </c>
      <c r="D2303" s="635"/>
      <c r="E2303" s="635" t="s">
        <v>1494</v>
      </c>
      <c r="F2303" s="465" t="s">
        <v>1845</v>
      </c>
      <c r="G2303" s="466">
        <v>0</v>
      </c>
      <c r="H2303" s="466">
        <v>0.031</v>
      </c>
      <c r="I2303" s="467">
        <v>0.029</v>
      </c>
      <c r="J2303" s="468">
        <v>0.002</v>
      </c>
    </row>
    <row r="2304" spans="1:10" ht="12.75" outlineLevel="2">
      <c r="A2304" s="645">
        <v>2142138270</v>
      </c>
      <c r="B2304" s="635" t="s">
        <v>1712</v>
      </c>
      <c r="C2304" s="635" t="s">
        <v>1798</v>
      </c>
      <c r="D2304" s="635"/>
      <c r="E2304" s="635" t="s">
        <v>1494</v>
      </c>
      <c r="F2304" s="465" t="s">
        <v>96</v>
      </c>
      <c r="G2304" s="466">
        <v>0</v>
      </c>
      <c r="H2304" s="466">
        <v>13.969</v>
      </c>
      <c r="I2304" s="467">
        <v>13.967</v>
      </c>
      <c r="J2304" s="468">
        <v>0.002</v>
      </c>
    </row>
    <row r="2305" spans="1:10" ht="12.75" outlineLevel="2">
      <c r="A2305" s="645">
        <v>2142138271</v>
      </c>
      <c r="B2305" s="635" t="s">
        <v>1713</v>
      </c>
      <c r="C2305" s="635" t="s">
        <v>1786</v>
      </c>
      <c r="D2305" s="635"/>
      <c r="E2305" s="635" t="s">
        <v>1494</v>
      </c>
      <c r="F2305" s="465" t="s">
        <v>333</v>
      </c>
      <c r="G2305" s="466">
        <v>0</v>
      </c>
      <c r="H2305" s="466">
        <v>0</v>
      </c>
      <c r="I2305" s="467">
        <v>0.055</v>
      </c>
      <c r="J2305" s="468">
        <v>0</v>
      </c>
    </row>
    <row r="2306" spans="1:10" ht="12.75" outlineLevel="2">
      <c r="A2306" s="645">
        <v>2142138272</v>
      </c>
      <c r="B2306" s="635" t="s">
        <v>1714</v>
      </c>
      <c r="C2306" s="635" t="s">
        <v>1794</v>
      </c>
      <c r="D2306" s="635"/>
      <c r="E2306" s="635" t="s">
        <v>1494</v>
      </c>
      <c r="F2306" s="465" t="s">
        <v>333</v>
      </c>
      <c r="G2306" s="466">
        <v>0</v>
      </c>
      <c r="H2306" s="466">
        <v>0</v>
      </c>
      <c r="I2306" s="467">
        <v>1.293</v>
      </c>
      <c r="J2306" s="468">
        <v>0</v>
      </c>
    </row>
    <row r="2307" spans="1:10" ht="12.75" outlineLevel="2">
      <c r="A2307" s="645">
        <v>2142138273</v>
      </c>
      <c r="B2307" s="635" t="s">
        <v>1715</v>
      </c>
      <c r="C2307" s="635" t="s">
        <v>1802</v>
      </c>
      <c r="D2307" s="635"/>
      <c r="E2307" s="635" t="s">
        <v>1494</v>
      </c>
      <c r="F2307" s="465" t="s">
        <v>96</v>
      </c>
      <c r="G2307" s="466">
        <v>0</v>
      </c>
      <c r="H2307" s="466">
        <v>2.37</v>
      </c>
      <c r="I2307" s="467">
        <v>2.369</v>
      </c>
      <c r="J2307" s="468">
        <v>0.001</v>
      </c>
    </row>
    <row r="2308" spans="1:10" ht="12.75" outlineLevel="2">
      <c r="A2308" s="645">
        <v>2142138274</v>
      </c>
      <c r="B2308" s="635" t="s">
        <v>1716</v>
      </c>
      <c r="C2308" s="635" t="s">
        <v>1800</v>
      </c>
      <c r="D2308" s="635"/>
      <c r="E2308" s="635" t="s">
        <v>1494</v>
      </c>
      <c r="F2308" s="465" t="s">
        <v>333</v>
      </c>
      <c r="G2308" s="466">
        <v>0</v>
      </c>
      <c r="H2308" s="466">
        <v>0</v>
      </c>
      <c r="I2308" s="467">
        <v>2.493</v>
      </c>
      <c r="J2308" s="468">
        <v>0</v>
      </c>
    </row>
    <row r="2309" spans="1:10" ht="12.75" outlineLevel="2">
      <c r="A2309" s="645">
        <v>2142138275</v>
      </c>
      <c r="B2309" s="635" t="s">
        <v>1717</v>
      </c>
      <c r="C2309" s="635" t="s">
        <v>1784</v>
      </c>
      <c r="D2309" s="635"/>
      <c r="E2309" s="635" t="s">
        <v>1494</v>
      </c>
      <c r="F2309" s="465" t="s">
        <v>96</v>
      </c>
      <c r="G2309" s="466">
        <v>0</v>
      </c>
      <c r="H2309" s="466">
        <v>0.035</v>
      </c>
      <c r="I2309" s="467">
        <v>0.035</v>
      </c>
      <c r="J2309" s="468">
        <v>0</v>
      </c>
    </row>
    <row r="2310" spans="1:10" ht="12.75" outlineLevel="2">
      <c r="A2310" s="645">
        <v>2142138275</v>
      </c>
      <c r="B2310" s="635" t="s">
        <v>1717</v>
      </c>
      <c r="C2310" s="635" t="s">
        <v>1784</v>
      </c>
      <c r="D2310" s="635"/>
      <c r="E2310" s="635" t="s">
        <v>1494</v>
      </c>
      <c r="F2310" s="465" t="s">
        <v>333</v>
      </c>
      <c r="G2310" s="466">
        <v>0</v>
      </c>
      <c r="H2310" s="466">
        <v>0</v>
      </c>
      <c r="I2310" s="467">
        <v>0.065</v>
      </c>
      <c r="J2310" s="468">
        <v>0</v>
      </c>
    </row>
    <row r="2311" spans="1:10" ht="12.75" outlineLevel="2">
      <c r="A2311" s="645">
        <v>2142138276</v>
      </c>
      <c r="B2311" s="635" t="s">
        <v>1718</v>
      </c>
      <c r="C2311" s="635" t="s">
        <v>1788</v>
      </c>
      <c r="D2311" s="635"/>
      <c r="E2311" s="635" t="s">
        <v>1494</v>
      </c>
      <c r="F2311" s="465" t="s">
        <v>96</v>
      </c>
      <c r="G2311" s="466">
        <v>0</v>
      </c>
      <c r="H2311" s="466">
        <v>0.185</v>
      </c>
      <c r="I2311" s="467">
        <v>0.185</v>
      </c>
      <c r="J2311" s="468">
        <v>0</v>
      </c>
    </row>
    <row r="2312" spans="1:10" ht="12.75" outlineLevel="2">
      <c r="A2312" s="645">
        <v>2142138277</v>
      </c>
      <c r="B2312" s="635" t="s">
        <v>1719</v>
      </c>
      <c r="C2312" s="635" t="s">
        <v>1800</v>
      </c>
      <c r="D2312" s="635"/>
      <c r="E2312" s="635" t="s">
        <v>1494</v>
      </c>
      <c r="F2312" s="465" t="s">
        <v>96</v>
      </c>
      <c r="G2312" s="466">
        <v>0</v>
      </c>
      <c r="H2312" s="466">
        <v>0.479</v>
      </c>
      <c r="I2312" s="467">
        <v>0.479</v>
      </c>
      <c r="J2312" s="468">
        <v>0</v>
      </c>
    </row>
    <row r="2313" spans="1:10" ht="12.75" outlineLevel="2">
      <c r="A2313" s="645">
        <v>2142138277</v>
      </c>
      <c r="B2313" s="635" t="s">
        <v>1719</v>
      </c>
      <c r="C2313" s="635" t="s">
        <v>1800</v>
      </c>
      <c r="D2313" s="635"/>
      <c r="E2313" s="635" t="s">
        <v>1494</v>
      </c>
      <c r="F2313" s="465" t="s">
        <v>333</v>
      </c>
      <c r="G2313" s="466">
        <v>0</v>
      </c>
      <c r="H2313" s="466">
        <v>0</v>
      </c>
      <c r="I2313" s="467">
        <v>1.257</v>
      </c>
      <c r="J2313" s="468">
        <v>0</v>
      </c>
    </row>
    <row r="2314" spans="1:10" ht="12.75" outlineLevel="2">
      <c r="A2314" s="645">
        <v>2142138278</v>
      </c>
      <c r="B2314" s="635" t="s">
        <v>1720</v>
      </c>
      <c r="C2314" s="635" t="s">
        <v>1794</v>
      </c>
      <c r="D2314" s="635"/>
      <c r="E2314" s="635" t="s">
        <v>1494</v>
      </c>
      <c r="F2314" s="465" t="s">
        <v>333</v>
      </c>
      <c r="G2314" s="466">
        <v>0</v>
      </c>
      <c r="H2314" s="466">
        <v>0</v>
      </c>
      <c r="I2314" s="467">
        <v>0.12</v>
      </c>
      <c r="J2314" s="468">
        <v>0</v>
      </c>
    </row>
    <row r="2315" spans="1:10" ht="12.75" outlineLevel="2">
      <c r="A2315" s="645">
        <v>2142138279</v>
      </c>
      <c r="B2315" s="635" t="s">
        <v>1721</v>
      </c>
      <c r="C2315" s="635" t="s">
        <v>1794</v>
      </c>
      <c r="D2315" s="635"/>
      <c r="E2315" s="635" t="s">
        <v>1494</v>
      </c>
      <c r="F2315" s="465" t="s">
        <v>333</v>
      </c>
      <c r="G2315" s="466">
        <v>0</v>
      </c>
      <c r="H2315" s="466">
        <v>0</v>
      </c>
      <c r="I2315" s="467">
        <v>0.45</v>
      </c>
      <c r="J2315" s="468">
        <v>0</v>
      </c>
    </row>
    <row r="2316" spans="1:10" ht="12.75" outlineLevel="2">
      <c r="A2316" s="645">
        <v>2142138280</v>
      </c>
      <c r="B2316" s="635" t="s">
        <v>1722</v>
      </c>
      <c r="C2316" s="635" t="s">
        <v>1777</v>
      </c>
      <c r="D2316" s="635"/>
      <c r="E2316" s="635" t="s">
        <v>1494</v>
      </c>
      <c r="F2316" s="465" t="s">
        <v>96</v>
      </c>
      <c r="G2316" s="466">
        <v>0</v>
      </c>
      <c r="H2316" s="466">
        <v>3.604</v>
      </c>
      <c r="I2316" s="467">
        <v>3.604</v>
      </c>
      <c r="J2316" s="468">
        <v>0</v>
      </c>
    </row>
    <row r="2317" spans="1:10" ht="12.75" outlineLevel="2">
      <c r="A2317" s="645">
        <v>2142138281</v>
      </c>
      <c r="B2317" s="635" t="s">
        <v>1723</v>
      </c>
      <c r="C2317" s="635" t="s">
        <v>1777</v>
      </c>
      <c r="D2317" s="635"/>
      <c r="E2317" s="635" t="s">
        <v>1494</v>
      </c>
      <c r="F2317" s="465" t="s">
        <v>96</v>
      </c>
      <c r="G2317" s="466">
        <v>0</v>
      </c>
      <c r="H2317" s="466">
        <v>1.399</v>
      </c>
      <c r="I2317" s="467">
        <v>1.398</v>
      </c>
      <c r="J2317" s="468">
        <v>0.001</v>
      </c>
    </row>
    <row r="2318" spans="1:10" ht="12.75" outlineLevel="2">
      <c r="A2318" s="645">
        <v>2142138282</v>
      </c>
      <c r="B2318" s="635" t="s">
        <v>1724</v>
      </c>
      <c r="C2318" s="635" t="s">
        <v>1804</v>
      </c>
      <c r="D2318" s="635"/>
      <c r="E2318" s="635" t="s">
        <v>1494</v>
      </c>
      <c r="F2318" s="465" t="s">
        <v>1845</v>
      </c>
      <c r="G2318" s="466">
        <v>0</v>
      </c>
      <c r="H2318" s="466">
        <v>0.028</v>
      </c>
      <c r="I2318" s="467">
        <v>0.027</v>
      </c>
      <c r="J2318" s="468">
        <v>0.001</v>
      </c>
    </row>
    <row r="2319" spans="1:10" ht="12.75" outlineLevel="2">
      <c r="A2319" s="645">
        <v>2142138282</v>
      </c>
      <c r="B2319" s="635" t="s">
        <v>1724</v>
      </c>
      <c r="C2319" s="635" t="s">
        <v>1804</v>
      </c>
      <c r="D2319" s="635"/>
      <c r="E2319" s="635" t="s">
        <v>1494</v>
      </c>
      <c r="F2319" s="465" t="s">
        <v>96</v>
      </c>
      <c r="G2319" s="466">
        <v>0</v>
      </c>
      <c r="H2319" s="466">
        <v>0.354</v>
      </c>
      <c r="I2319" s="467">
        <v>0.353</v>
      </c>
      <c r="J2319" s="468">
        <v>0.001</v>
      </c>
    </row>
    <row r="2320" spans="1:10" ht="12.75" outlineLevel="2">
      <c r="A2320" s="645">
        <v>2142138283</v>
      </c>
      <c r="B2320" s="635" t="s">
        <v>1725</v>
      </c>
      <c r="C2320" s="635" t="s">
        <v>1792</v>
      </c>
      <c r="D2320" s="635"/>
      <c r="E2320" s="635" t="s">
        <v>1494</v>
      </c>
      <c r="F2320" s="465" t="s">
        <v>96</v>
      </c>
      <c r="G2320" s="466">
        <v>0</v>
      </c>
      <c r="H2320" s="466">
        <v>2.38</v>
      </c>
      <c r="I2320" s="467">
        <v>2.378</v>
      </c>
      <c r="J2320" s="468">
        <v>0.002</v>
      </c>
    </row>
    <row r="2321" spans="1:10" ht="12.75" outlineLevel="2">
      <c r="A2321" s="645">
        <v>2142138284</v>
      </c>
      <c r="B2321" s="635" t="s">
        <v>1726</v>
      </c>
      <c r="C2321" s="635" t="s">
        <v>1777</v>
      </c>
      <c r="D2321" s="635"/>
      <c r="E2321" s="635" t="s">
        <v>1494</v>
      </c>
      <c r="F2321" s="465" t="s">
        <v>96</v>
      </c>
      <c r="G2321" s="466">
        <v>0</v>
      </c>
      <c r="H2321" s="466">
        <v>5.9</v>
      </c>
      <c r="I2321" s="467">
        <v>5.9</v>
      </c>
      <c r="J2321" s="468">
        <v>0</v>
      </c>
    </row>
    <row r="2322" spans="1:10" ht="12.75" outlineLevel="2">
      <c r="A2322" s="645">
        <v>2142138285</v>
      </c>
      <c r="B2322" s="635" t="s">
        <v>778</v>
      </c>
      <c r="C2322" s="635" t="s">
        <v>1802</v>
      </c>
      <c r="D2322" s="635"/>
      <c r="E2322" s="635" t="s">
        <v>1494</v>
      </c>
      <c r="F2322" s="465" t="s">
        <v>96</v>
      </c>
      <c r="G2322" s="466">
        <v>0</v>
      </c>
      <c r="H2322" s="466">
        <v>1.2</v>
      </c>
      <c r="I2322" s="467">
        <v>1.199</v>
      </c>
      <c r="J2322" s="468">
        <v>0.001</v>
      </c>
    </row>
    <row r="2323" spans="1:10" ht="12.75" outlineLevel="2">
      <c r="A2323" s="645">
        <v>2142138286</v>
      </c>
      <c r="B2323" s="635" t="s">
        <v>1727</v>
      </c>
      <c r="C2323" s="635" t="s">
        <v>1777</v>
      </c>
      <c r="D2323" s="635"/>
      <c r="E2323" s="635" t="s">
        <v>1494</v>
      </c>
      <c r="F2323" s="465" t="s">
        <v>96</v>
      </c>
      <c r="G2323" s="466">
        <v>0</v>
      </c>
      <c r="H2323" s="466">
        <v>1.99</v>
      </c>
      <c r="I2323" s="467">
        <v>1.99</v>
      </c>
      <c r="J2323" s="468">
        <v>0</v>
      </c>
    </row>
    <row r="2324" spans="1:10" ht="12.75" outlineLevel="2">
      <c r="A2324" s="645">
        <v>2142138287</v>
      </c>
      <c r="B2324" s="635" t="s">
        <v>1728</v>
      </c>
      <c r="C2324" s="635" t="s">
        <v>1788</v>
      </c>
      <c r="D2324" s="635"/>
      <c r="E2324" s="635" t="s">
        <v>1494</v>
      </c>
      <c r="F2324" s="465" t="s">
        <v>1845</v>
      </c>
      <c r="G2324" s="466">
        <v>0</v>
      </c>
      <c r="H2324" s="466">
        <v>0.015</v>
      </c>
      <c r="I2324" s="467">
        <v>0.015</v>
      </c>
      <c r="J2324" s="468">
        <v>0</v>
      </c>
    </row>
    <row r="2325" spans="1:10" ht="12.75" outlineLevel="2">
      <c r="A2325" s="645">
        <v>2142138287</v>
      </c>
      <c r="B2325" s="635" t="s">
        <v>1728</v>
      </c>
      <c r="C2325" s="635" t="s">
        <v>1788</v>
      </c>
      <c r="D2325" s="635"/>
      <c r="E2325" s="635" t="s">
        <v>1494</v>
      </c>
      <c r="F2325" s="465" t="s">
        <v>96</v>
      </c>
      <c r="G2325" s="466">
        <v>0</v>
      </c>
      <c r="H2325" s="466">
        <v>0.625</v>
      </c>
      <c r="I2325" s="467">
        <v>0.624</v>
      </c>
      <c r="J2325" s="468">
        <v>0.001</v>
      </c>
    </row>
    <row r="2326" spans="1:10" ht="12.75" outlineLevel="2">
      <c r="A2326" s="645">
        <v>2142138288</v>
      </c>
      <c r="B2326" s="635" t="s">
        <v>1307</v>
      </c>
      <c r="C2326" s="635" t="s">
        <v>1792</v>
      </c>
      <c r="D2326" s="635"/>
      <c r="E2326" s="635" t="s">
        <v>1494</v>
      </c>
      <c r="F2326" s="465" t="s">
        <v>96</v>
      </c>
      <c r="G2326" s="466">
        <v>0</v>
      </c>
      <c r="H2326" s="466">
        <v>0.8</v>
      </c>
      <c r="I2326" s="467">
        <v>0.8</v>
      </c>
      <c r="J2326" s="468">
        <v>0</v>
      </c>
    </row>
    <row r="2327" spans="1:10" ht="12.75" outlineLevel="2">
      <c r="A2327" s="645">
        <v>2142138289</v>
      </c>
      <c r="B2327" s="635" t="s">
        <v>780</v>
      </c>
      <c r="C2327" s="635" t="s">
        <v>1806</v>
      </c>
      <c r="D2327" s="635"/>
      <c r="E2327" s="635" t="s">
        <v>1494</v>
      </c>
      <c r="F2327" s="465" t="s">
        <v>96</v>
      </c>
      <c r="G2327" s="466">
        <v>0</v>
      </c>
      <c r="H2327" s="466">
        <v>0.35</v>
      </c>
      <c r="I2327" s="467">
        <v>0.35</v>
      </c>
      <c r="J2327" s="468">
        <v>0</v>
      </c>
    </row>
    <row r="2328" spans="1:10" ht="12.75" outlineLevel="2">
      <c r="A2328" s="645">
        <v>2142138290</v>
      </c>
      <c r="B2328" s="635" t="s">
        <v>778</v>
      </c>
      <c r="C2328" s="635" t="s">
        <v>1790</v>
      </c>
      <c r="D2328" s="635"/>
      <c r="E2328" s="635" t="s">
        <v>1494</v>
      </c>
      <c r="F2328" s="465" t="s">
        <v>96</v>
      </c>
      <c r="G2328" s="466">
        <v>0</v>
      </c>
      <c r="H2328" s="466">
        <v>0.499</v>
      </c>
      <c r="I2328" s="467">
        <v>0.499</v>
      </c>
      <c r="J2328" s="468">
        <v>0</v>
      </c>
    </row>
    <row r="2329" spans="1:10" ht="12.75" outlineLevel="2">
      <c r="A2329" s="645">
        <v>2142138291</v>
      </c>
      <c r="B2329" s="635" t="s">
        <v>778</v>
      </c>
      <c r="C2329" s="635" t="s">
        <v>1786</v>
      </c>
      <c r="D2329" s="635"/>
      <c r="E2329" s="635" t="s">
        <v>1494</v>
      </c>
      <c r="F2329" s="465" t="s">
        <v>96</v>
      </c>
      <c r="G2329" s="466">
        <v>0</v>
      </c>
      <c r="H2329" s="466">
        <v>0.338</v>
      </c>
      <c r="I2329" s="467">
        <v>0.338</v>
      </c>
      <c r="J2329" s="468">
        <v>0</v>
      </c>
    </row>
    <row r="2330" spans="1:10" ht="12.75" outlineLevel="2">
      <c r="A2330" s="645">
        <v>2142138292</v>
      </c>
      <c r="B2330" s="635" t="s">
        <v>1729</v>
      </c>
      <c r="C2330" s="635" t="s">
        <v>1777</v>
      </c>
      <c r="D2330" s="635"/>
      <c r="E2330" s="635" t="s">
        <v>1494</v>
      </c>
      <c r="F2330" s="465" t="s">
        <v>96</v>
      </c>
      <c r="G2330" s="466">
        <v>0</v>
      </c>
      <c r="H2330" s="466">
        <v>8.779</v>
      </c>
      <c r="I2330" s="467">
        <v>8.778</v>
      </c>
      <c r="J2330" s="468">
        <v>0.001</v>
      </c>
    </row>
    <row r="2331" spans="1:10" ht="12.75" outlineLevel="2">
      <c r="A2331" s="645">
        <v>2142138293</v>
      </c>
      <c r="B2331" s="635" t="s">
        <v>1730</v>
      </c>
      <c r="C2331" s="635" t="s">
        <v>1802</v>
      </c>
      <c r="D2331" s="635"/>
      <c r="E2331" s="635" t="s">
        <v>1494</v>
      </c>
      <c r="F2331" s="465" t="s">
        <v>96</v>
      </c>
      <c r="G2331" s="466">
        <v>0</v>
      </c>
      <c r="H2331" s="466">
        <v>2.269</v>
      </c>
      <c r="I2331" s="467">
        <v>2.268</v>
      </c>
      <c r="J2331" s="468">
        <v>0.001</v>
      </c>
    </row>
    <row r="2332" spans="1:10" ht="12.75" outlineLevel="2">
      <c r="A2332" s="645">
        <v>2142138294</v>
      </c>
      <c r="B2332" s="635" t="s">
        <v>1731</v>
      </c>
      <c r="C2332" s="635" t="s">
        <v>1777</v>
      </c>
      <c r="D2332" s="635"/>
      <c r="E2332" s="635" t="s">
        <v>1494</v>
      </c>
      <c r="F2332" s="465" t="s">
        <v>96</v>
      </c>
      <c r="G2332" s="466">
        <v>0</v>
      </c>
      <c r="H2332" s="466">
        <v>1.886</v>
      </c>
      <c r="I2332" s="467">
        <v>1.885</v>
      </c>
      <c r="J2332" s="468">
        <v>0.001</v>
      </c>
    </row>
    <row r="2333" spans="1:10" ht="12.75" outlineLevel="2">
      <c r="A2333" s="645">
        <v>2142138294</v>
      </c>
      <c r="B2333" s="635" t="s">
        <v>1731</v>
      </c>
      <c r="C2333" s="635" t="s">
        <v>1777</v>
      </c>
      <c r="D2333" s="635"/>
      <c r="E2333" s="635" t="s">
        <v>1494</v>
      </c>
      <c r="F2333" s="465" t="s">
        <v>333</v>
      </c>
      <c r="G2333" s="466">
        <v>0</v>
      </c>
      <c r="H2333" s="466">
        <v>0</v>
      </c>
      <c r="I2333" s="467">
        <v>0.628</v>
      </c>
      <c r="J2333" s="468">
        <v>0</v>
      </c>
    </row>
    <row r="2334" spans="1:10" ht="12.75" outlineLevel="2">
      <c r="A2334" s="645">
        <v>2142138295</v>
      </c>
      <c r="B2334" s="635" t="s">
        <v>1732</v>
      </c>
      <c r="C2334" s="635" t="s">
        <v>1784</v>
      </c>
      <c r="D2334" s="635"/>
      <c r="E2334" s="635" t="s">
        <v>1494</v>
      </c>
      <c r="F2334" s="465" t="s">
        <v>96</v>
      </c>
      <c r="G2334" s="466">
        <v>0</v>
      </c>
      <c r="H2334" s="466">
        <v>0.2</v>
      </c>
      <c r="I2334" s="467">
        <v>0.2</v>
      </c>
      <c r="J2334" s="468">
        <v>0</v>
      </c>
    </row>
    <row r="2335" spans="1:10" ht="12.75" outlineLevel="2">
      <c r="A2335" s="645">
        <v>2142138296</v>
      </c>
      <c r="B2335" s="635" t="s">
        <v>778</v>
      </c>
      <c r="C2335" s="635" t="s">
        <v>1800</v>
      </c>
      <c r="D2335" s="635"/>
      <c r="E2335" s="635" t="s">
        <v>1494</v>
      </c>
      <c r="F2335" s="465" t="s">
        <v>96</v>
      </c>
      <c r="G2335" s="466">
        <v>0</v>
      </c>
      <c r="H2335" s="466">
        <v>0.387</v>
      </c>
      <c r="I2335" s="467">
        <v>0.387</v>
      </c>
      <c r="J2335" s="468">
        <v>0</v>
      </c>
    </row>
    <row r="2336" spans="1:10" ht="12.75" outlineLevel="2">
      <c r="A2336" s="645">
        <v>2142138297</v>
      </c>
      <c r="B2336" s="635" t="s">
        <v>1733</v>
      </c>
      <c r="C2336" s="635" t="s">
        <v>1796</v>
      </c>
      <c r="D2336" s="635"/>
      <c r="E2336" s="635" t="s">
        <v>1494</v>
      </c>
      <c r="F2336" s="465" t="s">
        <v>333</v>
      </c>
      <c r="G2336" s="466">
        <v>0</v>
      </c>
      <c r="H2336" s="466">
        <v>0</v>
      </c>
      <c r="I2336" s="467">
        <v>0.74</v>
      </c>
      <c r="J2336" s="468">
        <v>0</v>
      </c>
    </row>
    <row r="2337" spans="1:10" ht="12.75" outlineLevel="2">
      <c r="A2337" s="645">
        <v>2142138298</v>
      </c>
      <c r="B2337" s="635" t="s">
        <v>485</v>
      </c>
      <c r="C2337" s="635" t="s">
        <v>1780</v>
      </c>
      <c r="D2337" s="635"/>
      <c r="E2337" s="635" t="s">
        <v>1494</v>
      </c>
      <c r="F2337" s="465" t="s">
        <v>96</v>
      </c>
      <c r="G2337" s="466">
        <v>0</v>
      </c>
      <c r="H2337" s="466">
        <v>1.145</v>
      </c>
      <c r="I2337" s="467">
        <v>1.145</v>
      </c>
      <c r="J2337" s="468">
        <v>0</v>
      </c>
    </row>
    <row r="2338" spans="1:10" ht="12.75" outlineLevel="2">
      <c r="A2338" s="645">
        <v>2142138299</v>
      </c>
      <c r="B2338" s="635" t="s">
        <v>486</v>
      </c>
      <c r="C2338" s="635" t="s">
        <v>1780</v>
      </c>
      <c r="D2338" s="635"/>
      <c r="E2338" s="635" t="s">
        <v>1494</v>
      </c>
      <c r="F2338" s="465" t="s">
        <v>96</v>
      </c>
      <c r="G2338" s="466">
        <v>0</v>
      </c>
      <c r="H2338" s="466">
        <v>0.072</v>
      </c>
      <c r="I2338" s="467">
        <v>0.072</v>
      </c>
      <c r="J2338" s="468">
        <v>0</v>
      </c>
    </row>
    <row r="2339" spans="1:10" ht="12.75" outlineLevel="2">
      <c r="A2339" s="645">
        <v>2142138300</v>
      </c>
      <c r="B2339" s="635" t="s">
        <v>487</v>
      </c>
      <c r="C2339" s="635" t="s">
        <v>1780</v>
      </c>
      <c r="D2339" s="635"/>
      <c r="E2339" s="635" t="s">
        <v>1494</v>
      </c>
      <c r="F2339" s="465" t="s">
        <v>96</v>
      </c>
      <c r="G2339" s="466">
        <v>0</v>
      </c>
      <c r="H2339" s="466">
        <v>0.309</v>
      </c>
      <c r="I2339" s="467">
        <v>0.309</v>
      </c>
      <c r="J2339" s="468">
        <v>0</v>
      </c>
    </row>
    <row r="2340" spans="1:10" ht="12.75" outlineLevel="2">
      <c r="A2340" s="645">
        <v>2142138301</v>
      </c>
      <c r="B2340" s="635" t="s">
        <v>488</v>
      </c>
      <c r="C2340" s="635" t="s">
        <v>1780</v>
      </c>
      <c r="D2340" s="635"/>
      <c r="E2340" s="635" t="s">
        <v>1494</v>
      </c>
      <c r="F2340" s="465" t="s">
        <v>96</v>
      </c>
      <c r="G2340" s="466">
        <v>0</v>
      </c>
      <c r="H2340" s="466">
        <v>1.3</v>
      </c>
      <c r="I2340" s="467">
        <v>1.3</v>
      </c>
      <c r="J2340" s="468">
        <v>0</v>
      </c>
    </row>
    <row r="2341" spans="1:10" ht="12.75" outlineLevel="2">
      <c r="A2341" s="645">
        <v>2142138302</v>
      </c>
      <c r="B2341" s="635" t="s">
        <v>489</v>
      </c>
      <c r="C2341" s="635" t="s">
        <v>1802</v>
      </c>
      <c r="D2341" s="635"/>
      <c r="E2341" s="635" t="s">
        <v>1494</v>
      </c>
      <c r="F2341" s="465" t="s">
        <v>96</v>
      </c>
      <c r="G2341" s="466">
        <v>0</v>
      </c>
      <c r="H2341" s="466">
        <v>1.224</v>
      </c>
      <c r="I2341" s="467">
        <v>1.224</v>
      </c>
      <c r="J2341" s="468">
        <v>0</v>
      </c>
    </row>
    <row r="2342" spans="1:10" ht="12.75" outlineLevel="2">
      <c r="A2342" s="645">
        <v>2142138303</v>
      </c>
      <c r="B2342" s="635" t="s">
        <v>778</v>
      </c>
      <c r="C2342" s="635" t="s">
        <v>1541</v>
      </c>
      <c r="D2342" s="635"/>
      <c r="E2342" s="635" t="s">
        <v>1494</v>
      </c>
      <c r="F2342" s="465" t="s">
        <v>96</v>
      </c>
      <c r="G2342" s="466">
        <v>0</v>
      </c>
      <c r="H2342" s="466">
        <v>0.5</v>
      </c>
      <c r="I2342" s="467">
        <v>0.5</v>
      </c>
      <c r="J2342" s="468">
        <v>0</v>
      </c>
    </row>
    <row r="2343" spans="1:10" ht="12.75" outlineLevel="2">
      <c r="A2343" s="645">
        <v>2142138304</v>
      </c>
      <c r="B2343" s="635" t="s">
        <v>1698</v>
      </c>
      <c r="C2343" s="635" t="s">
        <v>1786</v>
      </c>
      <c r="D2343" s="635"/>
      <c r="E2343" s="635" t="s">
        <v>1494</v>
      </c>
      <c r="F2343" s="465" t="s">
        <v>96</v>
      </c>
      <c r="G2343" s="466">
        <v>0</v>
      </c>
      <c r="H2343" s="466">
        <v>0.145</v>
      </c>
      <c r="I2343" s="467">
        <v>0.142</v>
      </c>
      <c r="J2343" s="468">
        <v>0.003</v>
      </c>
    </row>
    <row r="2344" spans="1:10" ht="12.75" outlineLevel="2">
      <c r="A2344" s="645">
        <v>2142138305</v>
      </c>
      <c r="B2344" s="635" t="s">
        <v>490</v>
      </c>
      <c r="C2344" s="635" t="s">
        <v>1786</v>
      </c>
      <c r="D2344" s="635"/>
      <c r="E2344" s="635" t="s">
        <v>1494</v>
      </c>
      <c r="F2344" s="465" t="s">
        <v>96</v>
      </c>
      <c r="G2344" s="466">
        <v>0</v>
      </c>
      <c r="H2344" s="466">
        <v>0.084</v>
      </c>
      <c r="I2344" s="467">
        <v>0.083</v>
      </c>
      <c r="J2344" s="468">
        <v>0.001</v>
      </c>
    </row>
    <row r="2345" spans="1:10" ht="12.75" outlineLevel="2">
      <c r="A2345" s="645">
        <v>2142138306</v>
      </c>
      <c r="B2345" s="635" t="s">
        <v>491</v>
      </c>
      <c r="C2345" s="635" t="s">
        <v>1804</v>
      </c>
      <c r="D2345" s="635"/>
      <c r="E2345" s="635" t="s">
        <v>1494</v>
      </c>
      <c r="F2345" s="465" t="s">
        <v>96</v>
      </c>
      <c r="G2345" s="466">
        <v>0</v>
      </c>
      <c r="H2345" s="466">
        <v>0.046</v>
      </c>
      <c r="I2345" s="467">
        <v>0.046</v>
      </c>
      <c r="J2345" s="468">
        <v>0</v>
      </c>
    </row>
    <row r="2346" spans="1:10" ht="12.75" outlineLevel="2">
      <c r="A2346" s="645">
        <v>2142138307</v>
      </c>
      <c r="B2346" s="635" t="s">
        <v>492</v>
      </c>
      <c r="C2346" s="635" t="s">
        <v>1804</v>
      </c>
      <c r="D2346" s="635"/>
      <c r="E2346" s="635" t="s">
        <v>1494</v>
      </c>
      <c r="F2346" s="465" t="s">
        <v>96</v>
      </c>
      <c r="G2346" s="466">
        <v>0</v>
      </c>
      <c r="H2346" s="466">
        <v>0.069</v>
      </c>
      <c r="I2346" s="467">
        <v>0.069</v>
      </c>
      <c r="J2346" s="468">
        <v>0</v>
      </c>
    </row>
    <row r="2347" spans="1:10" ht="12.75" outlineLevel="2">
      <c r="A2347" s="645">
        <v>2142138308</v>
      </c>
      <c r="B2347" s="635" t="s">
        <v>493</v>
      </c>
      <c r="C2347" s="635" t="s">
        <v>1804</v>
      </c>
      <c r="D2347" s="635"/>
      <c r="E2347" s="635" t="s">
        <v>1494</v>
      </c>
      <c r="F2347" s="465" t="s">
        <v>96</v>
      </c>
      <c r="G2347" s="466">
        <v>0</v>
      </c>
      <c r="H2347" s="466">
        <v>0.083</v>
      </c>
      <c r="I2347" s="467">
        <v>0.082</v>
      </c>
      <c r="J2347" s="468">
        <v>0.001</v>
      </c>
    </row>
    <row r="2348" spans="1:10" ht="12.75" outlineLevel="2">
      <c r="A2348" s="645">
        <v>2142138309</v>
      </c>
      <c r="B2348" s="635" t="s">
        <v>494</v>
      </c>
      <c r="C2348" s="635" t="s">
        <v>1784</v>
      </c>
      <c r="D2348" s="635"/>
      <c r="E2348" s="635" t="s">
        <v>1494</v>
      </c>
      <c r="F2348" s="465" t="s">
        <v>96</v>
      </c>
      <c r="G2348" s="466">
        <v>0</v>
      </c>
      <c r="H2348" s="466">
        <v>0.1</v>
      </c>
      <c r="I2348" s="467">
        <v>0.1</v>
      </c>
      <c r="J2348" s="468">
        <v>0</v>
      </c>
    </row>
    <row r="2349" spans="1:10" ht="12.75" outlineLevel="2">
      <c r="A2349" s="645">
        <v>2142138310</v>
      </c>
      <c r="B2349" s="635" t="s">
        <v>495</v>
      </c>
      <c r="C2349" s="635" t="s">
        <v>1792</v>
      </c>
      <c r="D2349" s="635"/>
      <c r="E2349" s="635" t="s">
        <v>1494</v>
      </c>
      <c r="F2349" s="465" t="s">
        <v>1845</v>
      </c>
      <c r="G2349" s="466">
        <v>0</v>
      </c>
      <c r="H2349" s="466">
        <v>0.01</v>
      </c>
      <c r="I2349" s="467">
        <v>0.01</v>
      </c>
      <c r="J2349" s="468">
        <v>0</v>
      </c>
    </row>
    <row r="2350" spans="1:10" ht="12.75" outlineLevel="2">
      <c r="A2350" s="645">
        <v>2142138310</v>
      </c>
      <c r="B2350" s="635" t="s">
        <v>495</v>
      </c>
      <c r="C2350" s="635" t="s">
        <v>1792</v>
      </c>
      <c r="D2350" s="635"/>
      <c r="E2350" s="635" t="s">
        <v>1494</v>
      </c>
      <c r="F2350" s="465" t="s">
        <v>96</v>
      </c>
      <c r="G2350" s="466">
        <v>0</v>
      </c>
      <c r="H2350" s="466">
        <v>0.518</v>
      </c>
      <c r="I2350" s="467">
        <v>0.518</v>
      </c>
      <c r="J2350" s="468">
        <v>0</v>
      </c>
    </row>
    <row r="2351" spans="1:10" ht="12.75" outlineLevel="2">
      <c r="A2351" s="645">
        <v>2142138311</v>
      </c>
      <c r="B2351" s="635" t="s">
        <v>1658</v>
      </c>
      <c r="C2351" s="635" t="s">
        <v>1792</v>
      </c>
      <c r="D2351" s="635"/>
      <c r="E2351" s="635" t="s">
        <v>1494</v>
      </c>
      <c r="F2351" s="465" t="s">
        <v>96</v>
      </c>
      <c r="G2351" s="466">
        <v>0</v>
      </c>
      <c r="H2351" s="466">
        <v>0.1</v>
      </c>
      <c r="I2351" s="467">
        <v>0.1</v>
      </c>
      <c r="J2351" s="468">
        <v>0</v>
      </c>
    </row>
    <row r="2352" spans="1:10" ht="12.75" outlineLevel="2">
      <c r="A2352" s="645">
        <v>2142138312</v>
      </c>
      <c r="B2352" s="635" t="s">
        <v>496</v>
      </c>
      <c r="C2352" s="635" t="s">
        <v>1792</v>
      </c>
      <c r="D2352" s="635"/>
      <c r="E2352" s="635" t="s">
        <v>1494</v>
      </c>
      <c r="F2352" s="465" t="s">
        <v>96</v>
      </c>
      <c r="G2352" s="466">
        <v>0</v>
      </c>
      <c r="H2352" s="466">
        <v>0.6</v>
      </c>
      <c r="I2352" s="467">
        <v>0.6</v>
      </c>
      <c r="J2352" s="468">
        <v>0</v>
      </c>
    </row>
    <row r="2353" spans="1:10" ht="12.75" outlineLevel="2">
      <c r="A2353" s="645">
        <v>2142138313</v>
      </c>
      <c r="B2353" s="635" t="s">
        <v>497</v>
      </c>
      <c r="C2353" s="635" t="s">
        <v>1777</v>
      </c>
      <c r="D2353" s="635"/>
      <c r="E2353" s="635" t="s">
        <v>1494</v>
      </c>
      <c r="F2353" s="465" t="s">
        <v>96</v>
      </c>
      <c r="G2353" s="466">
        <v>0</v>
      </c>
      <c r="H2353" s="466">
        <v>0.09</v>
      </c>
      <c r="I2353" s="467">
        <v>0.09</v>
      </c>
      <c r="J2353" s="468">
        <v>0</v>
      </c>
    </row>
    <row r="2354" spans="1:10" ht="12.75" outlineLevel="2">
      <c r="A2354" s="645">
        <v>2142138314</v>
      </c>
      <c r="B2354" s="635" t="s">
        <v>778</v>
      </c>
      <c r="C2354" s="635" t="s">
        <v>1780</v>
      </c>
      <c r="D2354" s="635"/>
      <c r="E2354" s="635" t="s">
        <v>1494</v>
      </c>
      <c r="F2354" s="465" t="s">
        <v>96</v>
      </c>
      <c r="G2354" s="466">
        <v>0</v>
      </c>
      <c r="H2354" s="466">
        <v>1.33</v>
      </c>
      <c r="I2354" s="467">
        <v>1.33</v>
      </c>
      <c r="J2354" s="468">
        <v>0</v>
      </c>
    </row>
    <row r="2355" spans="1:10" ht="12.75" outlineLevel="2">
      <c r="A2355" s="645">
        <v>2142138315</v>
      </c>
      <c r="B2355" s="635" t="s">
        <v>778</v>
      </c>
      <c r="C2355" s="635" t="s">
        <v>1782</v>
      </c>
      <c r="D2355" s="635"/>
      <c r="E2355" s="635" t="s">
        <v>1494</v>
      </c>
      <c r="F2355" s="465" t="s">
        <v>96</v>
      </c>
      <c r="G2355" s="466">
        <v>0</v>
      </c>
      <c r="H2355" s="466">
        <v>0.962</v>
      </c>
      <c r="I2355" s="467">
        <v>0.947</v>
      </c>
      <c r="J2355" s="468">
        <v>0.015</v>
      </c>
    </row>
    <row r="2356" spans="1:10" ht="12.75" outlineLevel="2">
      <c r="A2356" s="645">
        <v>2142138316</v>
      </c>
      <c r="B2356" s="635" t="s">
        <v>778</v>
      </c>
      <c r="C2356" s="635" t="s">
        <v>1800</v>
      </c>
      <c r="D2356" s="635"/>
      <c r="E2356" s="635" t="s">
        <v>1494</v>
      </c>
      <c r="F2356" s="465" t="s">
        <v>96</v>
      </c>
      <c r="G2356" s="466">
        <v>0</v>
      </c>
      <c r="H2356" s="466">
        <v>1.027</v>
      </c>
      <c r="I2356" s="467">
        <v>1.021</v>
      </c>
      <c r="J2356" s="468">
        <v>0.006</v>
      </c>
    </row>
    <row r="2357" spans="1:10" ht="12.75" outlineLevel="2">
      <c r="A2357" s="645">
        <v>2142138317</v>
      </c>
      <c r="B2357" s="635" t="s">
        <v>778</v>
      </c>
      <c r="C2357" s="635" t="s">
        <v>1786</v>
      </c>
      <c r="D2357" s="635"/>
      <c r="E2357" s="635" t="s">
        <v>1494</v>
      </c>
      <c r="F2357" s="465" t="s">
        <v>96</v>
      </c>
      <c r="G2357" s="466">
        <v>0</v>
      </c>
      <c r="H2357" s="466">
        <v>0.7</v>
      </c>
      <c r="I2357" s="467">
        <v>0.7</v>
      </c>
      <c r="J2357" s="468">
        <v>0</v>
      </c>
    </row>
    <row r="2358" spans="1:10" ht="12.75" outlineLevel="2">
      <c r="A2358" s="645">
        <v>2142138318</v>
      </c>
      <c r="B2358" s="635" t="s">
        <v>778</v>
      </c>
      <c r="C2358" s="635" t="s">
        <v>1804</v>
      </c>
      <c r="D2358" s="635"/>
      <c r="E2358" s="635" t="s">
        <v>1494</v>
      </c>
      <c r="F2358" s="465" t="s">
        <v>96</v>
      </c>
      <c r="G2358" s="466">
        <v>0</v>
      </c>
      <c r="H2358" s="466">
        <v>1.007</v>
      </c>
      <c r="I2358" s="467">
        <v>1.007</v>
      </c>
      <c r="J2358" s="468">
        <v>0</v>
      </c>
    </row>
    <row r="2359" spans="1:10" ht="12.75" outlineLevel="2">
      <c r="A2359" s="645">
        <v>2142138319</v>
      </c>
      <c r="B2359" s="635" t="s">
        <v>778</v>
      </c>
      <c r="C2359" s="635" t="s">
        <v>1792</v>
      </c>
      <c r="D2359" s="635"/>
      <c r="E2359" s="635" t="s">
        <v>1494</v>
      </c>
      <c r="F2359" s="465" t="s">
        <v>96</v>
      </c>
      <c r="G2359" s="466">
        <v>0</v>
      </c>
      <c r="H2359" s="466">
        <v>0.72</v>
      </c>
      <c r="I2359" s="467">
        <v>0.72</v>
      </c>
      <c r="J2359" s="468">
        <v>0</v>
      </c>
    </row>
    <row r="2360" spans="1:10" ht="12.75" outlineLevel="2">
      <c r="A2360" s="645">
        <v>2142138320</v>
      </c>
      <c r="B2360" s="635" t="s">
        <v>778</v>
      </c>
      <c r="C2360" s="635" t="s">
        <v>1790</v>
      </c>
      <c r="D2360" s="635"/>
      <c r="E2360" s="635" t="s">
        <v>1494</v>
      </c>
      <c r="F2360" s="465" t="s">
        <v>96</v>
      </c>
      <c r="G2360" s="466">
        <v>0</v>
      </c>
      <c r="H2360" s="466">
        <v>0.795</v>
      </c>
      <c r="I2360" s="467">
        <v>0.795</v>
      </c>
      <c r="J2360" s="468">
        <v>0</v>
      </c>
    </row>
    <row r="2361" spans="1:10" ht="12.75" outlineLevel="2">
      <c r="A2361" s="645">
        <v>2142138321</v>
      </c>
      <c r="B2361" s="635" t="s">
        <v>778</v>
      </c>
      <c r="C2361" s="635" t="s">
        <v>1798</v>
      </c>
      <c r="D2361" s="635"/>
      <c r="E2361" s="635" t="s">
        <v>1494</v>
      </c>
      <c r="F2361" s="465" t="s">
        <v>96</v>
      </c>
      <c r="G2361" s="466">
        <v>0</v>
      </c>
      <c r="H2361" s="466">
        <v>0.81</v>
      </c>
      <c r="I2361" s="467">
        <v>0.81</v>
      </c>
      <c r="J2361" s="468">
        <v>0</v>
      </c>
    </row>
    <row r="2362" spans="1:10" ht="12.75" outlineLevel="2">
      <c r="A2362" s="645">
        <v>2142138322</v>
      </c>
      <c r="B2362" s="635" t="s">
        <v>1863</v>
      </c>
      <c r="C2362" s="635" t="s">
        <v>1788</v>
      </c>
      <c r="D2362" s="635"/>
      <c r="E2362" s="635" t="s">
        <v>1494</v>
      </c>
      <c r="F2362" s="465" t="s">
        <v>1845</v>
      </c>
      <c r="G2362" s="466">
        <v>0</v>
      </c>
      <c r="H2362" s="466">
        <v>0.045</v>
      </c>
      <c r="I2362" s="467">
        <v>0.045</v>
      </c>
      <c r="J2362" s="468">
        <v>0</v>
      </c>
    </row>
    <row r="2363" spans="1:10" ht="12.75" outlineLevel="2">
      <c r="A2363" s="645">
        <v>2142138322</v>
      </c>
      <c r="B2363" s="635" t="s">
        <v>1863</v>
      </c>
      <c r="C2363" s="635" t="s">
        <v>1788</v>
      </c>
      <c r="D2363" s="635"/>
      <c r="E2363" s="635" t="s">
        <v>1494</v>
      </c>
      <c r="F2363" s="465" t="s">
        <v>96</v>
      </c>
      <c r="G2363" s="466">
        <v>0</v>
      </c>
      <c r="H2363" s="466">
        <v>1.075</v>
      </c>
      <c r="I2363" s="467">
        <v>1.075</v>
      </c>
      <c r="J2363" s="468">
        <v>0</v>
      </c>
    </row>
    <row r="2364" spans="1:10" ht="12.75" outlineLevel="2">
      <c r="A2364" s="645">
        <v>2142138323</v>
      </c>
      <c r="B2364" s="635" t="s">
        <v>1863</v>
      </c>
      <c r="C2364" s="635" t="s">
        <v>1784</v>
      </c>
      <c r="D2364" s="635"/>
      <c r="E2364" s="635" t="s">
        <v>1494</v>
      </c>
      <c r="F2364" s="465" t="s">
        <v>96</v>
      </c>
      <c r="G2364" s="466">
        <v>0</v>
      </c>
      <c r="H2364" s="466">
        <v>1</v>
      </c>
      <c r="I2364" s="467">
        <v>1</v>
      </c>
      <c r="J2364" s="468">
        <v>0</v>
      </c>
    </row>
    <row r="2365" spans="1:10" ht="12.75" outlineLevel="2">
      <c r="A2365" s="645">
        <v>2142138324</v>
      </c>
      <c r="B2365" s="635" t="s">
        <v>1863</v>
      </c>
      <c r="C2365" s="635" t="s">
        <v>1806</v>
      </c>
      <c r="D2365" s="635"/>
      <c r="E2365" s="635" t="s">
        <v>1494</v>
      </c>
      <c r="F2365" s="465" t="s">
        <v>96</v>
      </c>
      <c r="G2365" s="466">
        <v>0</v>
      </c>
      <c r="H2365" s="466">
        <v>0.8</v>
      </c>
      <c r="I2365" s="467">
        <v>0.8</v>
      </c>
      <c r="J2365" s="468">
        <v>0</v>
      </c>
    </row>
    <row r="2366" spans="1:10" ht="12.75" outlineLevel="2">
      <c r="A2366" s="645">
        <v>2142138325</v>
      </c>
      <c r="B2366" s="635" t="s">
        <v>1863</v>
      </c>
      <c r="C2366" s="635" t="s">
        <v>1796</v>
      </c>
      <c r="D2366" s="635"/>
      <c r="E2366" s="635" t="s">
        <v>1494</v>
      </c>
      <c r="F2366" s="465" t="s">
        <v>96</v>
      </c>
      <c r="G2366" s="466">
        <v>0</v>
      </c>
      <c r="H2366" s="466">
        <v>0.9</v>
      </c>
      <c r="I2366" s="467">
        <v>0.9</v>
      </c>
      <c r="J2366" s="468">
        <v>0</v>
      </c>
    </row>
    <row r="2367" spans="1:10" ht="12.75" outlineLevel="2">
      <c r="A2367" s="645">
        <v>2142138326</v>
      </c>
      <c r="B2367" s="635" t="s">
        <v>1863</v>
      </c>
      <c r="C2367" s="635" t="s">
        <v>1794</v>
      </c>
      <c r="D2367" s="635"/>
      <c r="E2367" s="635" t="s">
        <v>1494</v>
      </c>
      <c r="F2367" s="465" t="s">
        <v>96</v>
      </c>
      <c r="G2367" s="466">
        <v>0</v>
      </c>
      <c r="H2367" s="466">
        <v>1.1</v>
      </c>
      <c r="I2367" s="467">
        <v>1.099</v>
      </c>
      <c r="J2367" s="468">
        <v>0.001</v>
      </c>
    </row>
    <row r="2368" spans="1:10" ht="12.75" outlineLevel="2">
      <c r="A2368" s="645">
        <v>2142138327</v>
      </c>
      <c r="B2368" s="635" t="s">
        <v>498</v>
      </c>
      <c r="C2368" s="635" t="s">
        <v>1788</v>
      </c>
      <c r="D2368" s="635"/>
      <c r="E2368" s="635" t="s">
        <v>1494</v>
      </c>
      <c r="F2368" s="465" t="s">
        <v>96</v>
      </c>
      <c r="G2368" s="466">
        <v>0</v>
      </c>
      <c r="H2368" s="466">
        <v>0.1</v>
      </c>
      <c r="I2368" s="467">
        <v>0.1</v>
      </c>
      <c r="J2368" s="468">
        <v>0</v>
      </c>
    </row>
    <row r="2369" spans="1:10" ht="12.75" outlineLevel="2">
      <c r="A2369" s="645">
        <v>2142138328</v>
      </c>
      <c r="B2369" s="635" t="s">
        <v>1727</v>
      </c>
      <c r="C2369" s="635" t="s">
        <v>1794</v>
      </c>
      <c r="D2369" s="635"/>
      <c r="E2369" s="635" t="s">
        <v>1494</v>
      </c>
      <c r="F2369" s="465" t="s">
        <v>96</v>
      </c>
      <c r="G2369" s="466">
        <v>0</v>
      </c>
      <c r="H2369" s="466">
        <v>0.995</v>
      </c>
      <c r="I2369" s="467">
        <v>0.995</v>
      </c>
      <c r="J2369" s="468">
        <v>0</v>
      </c>
    </row>
    <row r="2370" spans="1:10" ht="12.75" outlineLevel="2">
      <c r="A2370" s="645">
        <v>2142138329</v>
      </c>
      <c r="B2370" s="635" t="s">
        <v>1725</v>
      </c>
      <c r="C2370" s="635" t="s">
        <v>1780</v>
      </c>
      <c r="D2370" s="635"/>
      <c r="E2370" s="635" t="s">
        <v>1494</v>
      </c>
      <c r="F2370" s="465" t="s">
        <v>96</v>
      </c>
      <c r="G2370" s="466">
        <v>0</v>
      </c>
      <c r="H2370" s="466">
        <v>1.849</v>
      </c>
      <c r="I2370" s="467">
        <v>1.849</v>
      </c>
      <c r="J2370" s="468">
        <v>0</v>
      </c>
    </row>
    <row r="2371" spans="1:10" ht="12.75" outlineLevel="2">
      <c r="A2371" s="645">
        <v>2142138330</v>
      </c>
      <c r="B2371" s="635" t="s">
        <v>957</v>
      </c>
      <c r="C2371" s="635" t="s">
        <v>1790</v>
      </c>
      <c r="D2371" s="635"/>
      <c r="E2371" s="635" t="s">
        <v>1494</v>
      </c>
      <c r="F2371" s="465" t="s">
        <v>96</v>
      </c>
      <c r="G2371" s="466">
        <v>0</v>
      </c>
      <c r="H2371" s="466">
        <v>2.375</v>
      </c>
      <c r="I2371" s="467">
        <v>2.374</v>
      </c>
      <c r="J2371" s="468">
        <v>0.001</v>
      </c>
    </row>
    <row r="2372" spans="1:10" ht="12.75" outlineLevel="2">
      <c r="A2372" s="645">
        <v>2142138331</v>
      </c>
      <c r="B2372" s="635" t="s">
        <v>499</v>
      </c>
      <c r="C2372" s="635" t="s">
        <v>1794</v>
      </c>
      <c r="D2372" s="635"/>
      <c r="E2372" s="635" t="s">
        <v>1494</v>
      </c>
      <c r="F2372" s="465" t="s">
        <v>96</v>
      </c>
      <c r="G2372" s="466">
        <v>0</v>
      </c>
      <c r="H2372" s="466">
        <v>1.642</v>
      </c>
      <c r="I2372" s="467">
        <v>1.641</v>
      </c>
      <c r="J2372" s="468">
        <v>0.001</v>
      </c>
    </row>
    <row r="2373" spans="1:10" ht="12.75" outlineLevel="2">
      <c r="A2373" s="645">
        <v>2142138332</v>
      </c>
      <c r="B2373" s="635" t="s">
        <v>500</v>
      </c>
      <c r="C2373" s="635" t="s">
        <v>1777</v>
      </c>
      <c r="D2373" s="635"/>
      <c r="E2373" s="635" t="s">
        <v>1494</v>
      </c>
      <c r="F2373" s="465" t="s">
        <v>96</v>
      </c>
      <c r="G2373" s="466">
        <v>0</v>
      </c>
      <c r="H2373" s="466">
        <v>1.083</v>
      </c>
      <c r="I2373" s="467">
        <v>1.082</v>
      </c>
      <c r="J2373" s="468">
        <v>0.001</v>
      </c>
    </row>
    <row r="2374" spans="1:10" ht="12.75" outlineLevel="2">
      <c r="A2374" s="645">
        <v>2142138333</v>
      </c>
      <c r="B2374" s="635" t="s">
        <v>501</v>
      </c>
      <c r="C2374" s="635" t="s">
        <v>1777</v>
      </c>
      <c r="D2374" s="635"/>
      <c r="E2374" s="635" t="s">
        <v>1494</v>
      </c>
      <c r="F2374" s="465" t="s">
        <v>96</v>
      </c>
      <c r="G2374" s="466">
        <v>0</v>
      </c>
      <c r="H2374" s="466">
        <v>0.076</v>
      </c>
      <c r="I2374" s="467">
        <v>0.075</v>
      </c>
      <c r="J2374" s="468">
        <v>0.001</v>
      </c>
    </row>
    <row r="2375" spans="1:10" ht="12.75" outlineLevel="2">
      <c r="A2375" s="645">
        <v>2142138334</v>
      </c>
      <c r="B2375" s="635" t="s">
        <v>502</v>
      </c>
      <c r="C2375" s="635" t="s">
        <v>1777</v>
      </c>
      <c r="D2375" s="635"/>
      <c r="E2375" s="635" t="s">
        <v>1494</v>
      </c>
      <c r="F2375" s="465" t="s">
        <v>96</v>
      </c>
      <c r="G2375" s="466">
        <v>0</v>
      </c>
      <c r="H2375" s="466">
        <v>1.951</v>
      </c>
      <c r="I2375" s="467">
        <v>1.95</v>
      </c>
      <c r="J2375" s="468">
        <v>0.001</v>
      </c>
    </row>
    <row r="2376" spans="1:10" ht="12.75" outlineLevel="2">
      <c r="A2376" s="645">
        <v>2142138335</v>
      </c>
      <c r="B2376" s="635" t="s">
        <v>503</v>
      </c>
      <c r="C2376" s="635" t="s">
        <v>1777</v>
      </c>
      <c r="D2376" s="635"/>
      <c r="E2376" s="635" t="s">
        <v>1494</v>
      </c>
      <c r="F2376" s="465" t="s">
        <v>96</v>
      </c>
      <c r="G2376" s="466">
        <v>0</v>
      </c>
      <c r="H2376" s="466">
        <v>4.307</v>
      </c>
      <c r="I2376" s="467">
        <v>4.307</v>
      </c>
      <c r="J2376" s="468">
        <v>0</v>
      </c>
    </row>
    <row r="2377" spans="1:10" ht="12.75" outlineLevel="2">
      <c r="A2377" s="645">
        <v>2142138336</v>
      </c>
      <c r="B2377" s="635" t="s">
        <v>504</v>
      </c>
      <c r="C2377" s="635" t="s">
        <v>1541</v>
      </c>
      <c r="D2377" s="635"/>
      <c r="E2377" s="635" t="s">
        <v>1494</v>
      </c>
      <c r="F2377" s="465" t="s">
        <v>96</v>
      </c>
      <c r="G2377" s="466">
        <v>0</v>
      </c>
      <c r="H2377" s="466">
        <v>0.8</v>
      </c>
      <c r="I2377" s="467">
        <v>0.8</v>
      </c>
      <c r="J2377" s="468">
        <v>0</v>
      </c>
    </row>
    <row r="2378" spans="1:10" ht="12.75" outlineLevel="2">
      <c r="A2378" s="645">
        <v>2142138337</v>
      </c>
      <c r="B2378" s="635" t="s">
        <v>778</v>
      </c>
      <c r="C2378" s="635" t="s">
        <v>1780</v>
      </c>
      <c r="D2378" s="635"/>
      <c r="E2378" s="635" t="s">
        <v>1494</v>
      </c>
      <c r="F2378" s="465" t="s">
        <v>96</v>
      </c>
      <c r="G2378" s="466">
        <v>0</v>
      </c>
      <c r="H2378" s="466">
        <v>0.6</v>
      </c>
      <c r="I2378" s="467">
        <v>0.6</v>
      </c>
      <c r="J2378" s="468">
        <v>0</v>
      </c>
    </row>
    <row r="2379" spans="1:10" ht="12.75" outlineLevel="2">
      <c r="A2379" s="645">
        <v>2142138338</v>
      </c>
      <c r="B2379" s="635" t="s">
        <v>505</v>
      </c>
      <c r="C2379" s="635" t="s">
        <v>1780</v>
      </c>
      <c r="D2379" s="635"/>
      <c r="E2379" s="635" t="s">
        <v>1494</v>
      </c>
      <c r="F2379" s="465" t="s">
        <v>96</v>
      </c>
      <c r="G2379" s="466">
        <v>0</v>
      </c>
      <c r="H2379" s="466">
        <v>0.411</v>
      </c>
      <c r="I2379" s="467">
        <v>0.411</v>
      </c>
      <c r="J2379" s="468">
        <v>0</v>
      </c>
    </row>
    <row r="2380" spans="1:10" ht="12.75" outlineLevel="2">
      <c r="A2380" s="645">
        <v>2142138339</v>
      </c>
      <c r="B2380" s="635" t="s">
        <v>506</v>
      </c>
      <c r="C2380" s="635" t="s">
        <v>1780</v>
      </c>
      <c r="D2380" s="635"/>
      <c r="E2380" s="635" t="s">
        <v>1494</v>
      </c>
      <c r="F2380" s="465" t="s">
        <v>96</v>
      </c>
      <c r="G2380" s="466">
        <v>0</v>
      </c>
      <c r="H2380" s="466">
        <v>1.349</v>
      </c>
      <c r="I2380" s="467">
        <v>1.348</v>
      </c>
      <c r="J2380" s="468">
        <v>0.001</v>
      </c>
    </row>
    <row r="2381" spans="1:10" ht="12.75" outlineLevel="2">
      <c r="A2381" s="645">
        <v>2142138340</v>
      </c>
      <c r="B2381" s="635" t="s">
        <v>507</v>
      </c>
      <c r="C2381" s="635" t="s">
        <v>1780</v>
      </c>
      <c r="D2381" s="635"/>
      <c r="E2381" s="635" t="s">
        <v>1494</v>
      </c>
      <c r="F2381" s="465" t="s">
        <v>96</v>
      </c>
      <c r="G2381" s="466">
        <v>0</v>
      </c>
      <c r="H2381" s="466">
        <v>1.265</v>
      </c>
      <c r="I2381" s="467">
        <v>1.264</v>
      </c>
      <c r="J2381" s="468">
        <v>0.001</v>
      </c>
    </row>
    <row r="2382" spans="1:10" ht="12.75" outlineLevel="2">
      <c r="A2382" s="645">
        <v>2142138341</v>
      </c>
      <c r="B2382" s="635" t="s">
        <v>508</v>
      </c>
      <c r="C2382" s="635" t="s">
        <v>1802</v>
      </c>
      <c r="D2382" s="635"/>
      <c r="E2382" s="635" t="s">
        <v>1494</v>
      </c>
      <c r="F2382" s="465" t="s">
        <v>96</v>
      </c>
      <c r="G2382" s="466">
        <v>0</v>
      </c>
      <c r="H2382" s="466">
        <v>15.001</v>
      </c>
      <c r="I2382" s="467">
        <v>15</v>
      </c>
      <c r="J2382" s="468">
        <v>0.001</v>
      </c>
    </row>
    <row r="2383" spans="1:10" ht="12.75" outlineLevel="2">
      <c r="A2383" s="645">
        <v>2142138342</v>
      </c>
      <c r="B2383" s="635" t="s">
        <v>509</v>
      </c>
      <c r="C2383" s="635" t="s">
        <v>1782</v>
      </c>
      <c r="D2383" s="635"/>
      <c r="E2383" s="635" t="s">
        <v>1494</v>
      </c>
      <c r="F2383" s="465" t="s">
        <v>96</v>
      </c>
      <c r="G2383" s="466">
        <v>0</v>
      </c>
      <c r="H2383" s="466">
        <v>0.738</v>
      </c>
      <c r="I2383" s="467">
        <v>0.721</v>
      </c>
      <c r="J2383" s="468">
        <v>0.017</v>
      </c>
    </row>
    <row r="2384" spans="1:10" ht="12.75" outlineLevel="2">
      <c r="A2384" s="645">
        <v>2142138343</v>
      </c>
      <c r="B2384" s="635" t="s">
        <v>1965</v>
      </c>
      <c r="C2384" s="635" t="s">
        <v>1782</v>
      </c>
      <c r="D2384" s="635"/>
      <c r="E2384" s="635" t="s">
        <v>1494</v>
      </c>
      <c r="F2384" s="465" t="s">
        <v>96</v>
      </c>
      <c r="G2384" s="466">
        <v>0</v>
      </c>
      <c r="H2384" s="466">
        <v>0.346</v>
      </c>
      <c r="I2384" s="467">
        <v>0.345</v>
      </c>
      <c r="J2384" s="468">
        <v>0.001</v>
      </c>
    </row>
    <row r="2385" spans="1:10" ht="12.75" outlineLevel="2">
      <c r="A2385" s="645">
        <v>2142138344</v>
      </c>
      <c r="B2385" s="635" t="s">
        <v>510</v>
      </c>
      <c r="C2385" s="635" t="s">
        <v>1800</v>
      </c>
      <c r="D2385" s="635"/>
      <c r="E2385" s="635" t="s">
        <v>1494</v>
      </c>
      <c r="F2385" s="465" t="s">
        <v>96</v>
      </c>
      <c r="G2385" s="466">
        <v>0</v>
      </c>
      <c r="H2385" s="466">
        <v>1.583</v>
      </c>
      <c r="I2385" s="467">
        <v>1.583</v>
      </c>
      <c r="J2385" s="468">
        <v>0</v>
      </c>
    </row>
    <row r="2386" spans="1:10" ht="12.75" outlineLevel="2">
      <c r="A2386" s="645">
        <v>2142138345</v>
      </c>
      <c r="B2386" s="635" t="s">
        <v>511</v>
      </c>
      <c r="C2386" s="635" t="s">
        <v>1786</v>
      </c>
      <c r="D2386" s="635"/>
      <c r="E2386" s="635" t="s">
        <v>1494</v>
      </c>
      <c r="F2386" s="465" t="s">
        <v>96</v>
      </c>
      <c r="G2386" s="466">
        <v>0</v>
      </c>
      <c r="H2386" s="466">
        <v>1.73</v>
      </c>
      <c r="I2386" s="467">
        <v>1.73</v>
      </c>
      <c r="J2386" s="468">
        <v>0</v>
      </c>
    </row>
    <row r="2387" spans="1:10" ht="12.75" outlineLevel="2">
      <c r="A2387" s="645">
        <v>2142138346</v>
      </c>
      <c r="B2387" s="635" t="s">
        <v>512</v>
      </c>
      <c r="C2387" s="635" t="s">
        <v>1804</v>
      </c>
      <c r="D2387" s="635"/>
      <c r="E2387" s="635" t="s">
        <v>1494</v>
      </c>
      <c r="F2387" s="465" t="s">
        <v>96</v>
      </c>
      <c r="G2387" s="466">
        <v>0</v>
      </c>
      <c r="H2387" s="466">
        <v>0.996</v>
      </c>
      <c r="I2387" s="467">
        <v>0.996</v>
      </c>
      <c r="J2387" s="468">
        <v>0</v>
      </c>
    </row>
    <row r="2388" spans="1:10" ht="12.75" outlineLevel="2">
      <c r="A2388" s="645">
        <v>2142138347</v>
      </c>
      <c r="B2388" s="635" t="s">
        <v>513</v>
      </c>
      <c r="C2388" s="635" t="s">
        <v>1792</v>
      </c>
      <c r="D2388" s="635"/>
      <c r="E2388" s="635" t="s">
        <v>1494</v>
      </c>
      <c r="F2388" s="465" t="s">
        <v>96</v>
      </c>
      <c r="G2388" s="466">
        <v>0</v>
      </c>
      <c r="H2388" s="466">
        <v>1.65</v>
      </c>
      <c r="I2388" s="467">
        <v>1.65</v>
      </c>
      <c r="J2388" s="468">
        <v>0</v>
      </c>
    </row>
    <row r="2389" spans="1:10" ht="12.75" outlineLevel="2">
      <c r="A2389" s="645">
        <v>2142138348</v>
      </c>
      <c r="B2389" s="635" t="s">
        <v>514</v>
      </c>
      <c r="C2389" s="635" t="s">
        <v>1790</v>
      </c>
      <c r="D2389" s="635"/>
      <c r="E2389" s="635" t="s">
        <v>1494</v>
      </c>
      <c r="F2389" s="465" t="s">
        <v>96</v>
      </c>
      <c r="G2389" s="466">
        <v>0</v>
      </c>
      <c r="H2389" s="466">
        <v>2.368</v>
      </c>
      <c r="I2389" s="467">
        <v>2.368</v>
      </c>
      <c r="J2389" s="468">
        <v>0</v>
      </c>
    </row>
    <row r="2390" spans="1:10" ht="12.75" outlineLevel="2">
      <c r="A2390" s="645">
        <v>2142138349</v>
      </c>
      <c r="B2390" s="635" t="s">
        <v>515</v>
      </c>
      <c r="C2390" s="635" t="s">
        <v>1798</v>
      </c>
      <c r="D2390" s="635"/>
      <c r="E2390" s="635" t="s">
        <v>1494</v>
      </c>
      <c r="F2390" s="465" t="s">
        <v>96</v>
      </c>
      <c r="G2390" s="466">
        <v>0</v>
      </c>
      <c r="H2390" s="466">
        <v>2.2</v>
      </c>
      <c r="I2390" s="467">
        <v>2.199</v>
      </c>
      <c r="J2390" s="468">
        <v>0.001</v>
      </c>
    </row>
    <row r="2391" spans="1:10" ht="12.75" outlineLevel="2">
      <c r="A2391" s="645">
        <v>2142138350</v>
      </c>
      <c r="B2391" s="635" t="s">
        <v>516</v>
      </c>
      <c r="C2391" s="635" t="s">
        <v>1788</v>
      </c>
      <c r="D2391" s="635"/>
      <c r="E2391" s="635" t="s">
        <v>1494</v>
      </c>
      <c r="F2391" s="465" t="s">
        <v>1845</v>
      </c>
      <c r="G2391" s="466">
        <v>0</v>
      </c>
      <c r="H2391" s="466">
        <v>0.069</v>
      </c>
      <c r="I2391" s="467">
        <v>0.068</v>
      </c>
      <c r="J2391" s="468">
        <v>0.001</v>
      </c>
    </row>
    <row r="2392" spans="1:10" ht="12.75" outlineLevel="2">
      <c r="A2392" s="645">
        <v>2142138350</v>
      </c>
      <c r="B2392" s="635" t="s">
        <v>516</v>
      </c>
      <c r="C2392" s="635" t="s">
        <v>1788</v>
      </c>
      <c r="D2392" s="635"/>
      <c r="E2392" s="635" t="s">
        <v>1494</v>
      </c>
      <c r="F2392" s="465" t="s">
        <v>96</v>
      </c>
      <c r="G2392" s="466">
        <v>0</v>
      </c>
      <c r="H2392" s="466">
        <v>2.03</v>
      </c>
      <c r="I2392" s="467">
        <v>2.03</v>
      </c>
      <c r="J2392" s="468">
        <v>0</v>
      </c>
    </row>
    <row r="2393" spans="1:10" ht="12.75" outlineLevel="2">
      <c r="A2393" s="645">
        <v>2142138351</v>
      </c>
      <c r="B2393" s="635" t="s">
        <v>517</v>
      </c>
      <c r="C2393" s="635" t="s">
        <v>1784</v>
      </c>
      <c r="D2393" s="635"/>
      <c r="E2393" s="635" t="s">
        <v>1494</v>
      </c>
      <c r="F2393" s="465" t="s">
        <v>96</v>
      </c>
      <c r="G2393" s="466">
        <v>0</v>
      </c>
      <c r="H2393" s="466">
        <v>2.2</v>
      </c>
      <c r="I2393" s="467">
        <v>2.2</v>
      </c>
      <c r="J2393" s="468">
        <v>0</v>
      </c>
    </row>
    <row r="2394" spans="1:10" ht="12.75" outlineLevel="2">
      <c r="A2394" s="645">
        <v>2142138352</v>
      </c>
      <c r="B2394" s="635" t="s">
        <v>518</v>
      </c>
      <c r="C2394" s="635" t="s">
        <v>1806</v>
      </c>
      <c r="D2394" s="635"/>
      <c r="E2394" s="635" t="s">
        <v>1494</v>
      </c>
      <c r="F2394" s="465" t="s">
        <v>96</v>
      </c>
      <c r="G2394" s="466">
        <v>0</v>
      </c>
      <c r="H2394" s="466">
        <v>0.6</v>
      </c>
      <c r="I2394" s="467">
        <v>0.6</v>
      </c>
      <c r="J2394" s="468">
        <v>0</v>
      </c>
    </row>
    <row r="2395" spans="1:10" ht="12.75" outlineLevel="2">
      <c r="A2395" s="645">
        <v>2142138353</v>
      </c>
      <c r="B2395" s="635" t="s">
        <v>519</v>
      </c>
      <c r="C2395" s="635" t="s">
        <v>1806</v>
      </c>
      <c r="D2395" s="635"/>
      <c r="E2395" s="635" t="s">
        <v>1494</v>
      </c>
      <c r="F2395" s="465" t="s">
        <v>96</v>
      </c>
      <c r="G2395" s="466">
        <v>0</v>
      </c>
      <c r="H2395" s="466">
        <v>0.46</v>
      </c>
      <c r="I2395" s="467">
        <v>0.46</v>
      </c>
      <c r="J2395" s="468">
        <v>0</v>
      </c>
    </row>
    <row r="2396" spans="1:10" ht="12.75" outlineLevel="2">
      <c r="A2396" s="645">
        <v>2142138354</v>
      </c>
      <c r="B2396" s="635" t="s">
        <v>520</v>
      </c>
      <c r="C2396" s="635" t="s">
        <v>1796</v>
      </c>
      <c r="D2396" s="635"/>
      <c r="E2396" s="635" t="s">
        <v>1494</v>
      </c>
      <c r="F2396" s="465" t="s">
        <v>96</v>
      </c>
      <c r="G2396" s="466">
        <v>0</v>
      </c>
      <c r="H2396" s="466">
        <v>2.35</v>
      </c>
      <c r="I2396" s="467">
        <v>2.349</v>
      </c>
      <c r="J2396" s="468">
        <v>0.001</v>
      </c>
    </row>
    <row r="2397" spans="1:10" ht="12.75" outlineLevel="2">
      <c r="A2397" s="645">
        <v>2142138355</v>
      </c>
      <c r="B2397" s="635" t="s">
        <v>521</v>
      </c>
      <c r="C2397" s="635" t="s">
        <v>1794</v>
      </c>
      <c r="D2397" s="635"/>
      <c r="E2397" s="635" t="s">
        <v>1494</v>
      </c>
      <c r="F2397" s="465" t="s">
        <v>96</v>
      </c>
      <c r="G2397" s="466">
        <v>0</v>
      </c>
      <c r="H2397" s="466">
        <v>2.28</v>
      </c>
      <c r="I2397" s="467">
        <v>2.275</v>
      </c>
      <c r="J2397" s="468">
        <v>0.005</v>
      </c>
    </row>
    <row r="2398" spans="1:10" ht="12.75" outlineLevel="2">
      <c r="A2398" s="645">
        <v>2142138356</v>
      </c>
      <c r="B2398" s="635" t="s">
        <v>522</v>
      </c>
      <c r="C2398" s="635" t="s">
        <v>1794</v>
      </c>
      <c r="D2398" s="635"/>
      <c r="E2398" s="635" t="s">
        <v>1494</v>
      </c>
      <c r="F2398" s="465" t="s">
        <v>96</v>
      </c>
      <c r="G2398" s="466">
        <v>0</v>
      </c>
      <c r="H2398" s="466">
        <v>0.706</v>
      </c>
      <c r="I2398" s="467">
        <v>0.706</v>
      </c>
      <c r="J2398" s="468">
        <v>0</v>
      </c>
    </row>
    <row r="2399" spans="1:10" ht="12.75" outlineLevel="2">
      <c r="A2399" s="645">
        <v>2142138357</v>
      </c>
      <c r="B2399" s="635" t="s">
        <v>523</v>
      </c>
      <c r="C2399" s="635" t="s">
        <v>1777</v>
      </c>
      <c r="D2399" s="635"/>
      <c r="E2399" s="635" t="s">
        <v>1494</v>
      </c>
      <c r="F2399" s="465" t="s">
        <v>96</v>
      </c>
      <c r="G2399" s="466">
        <v>0</v>
      </c>
      <c r="H2399" s="466">
        <v>2.253</v>
      </c>
      <c r="I2399" s="467">
        <v>2.252</v>
      </c>
      <c r="J2399" s="468">
        <v>0.001</v>
      </c>
    </row>
    <row r="2400" spans="1:10" ht="12.75" outlineLevel="2">
      <c r="A2400" s="645">
        <v>2142138358</v>
      </c>
      <c r="B2400" s="635" t="s">
        <v>2247</v>
      </c>
      <c r="C2400" s="635" t="s">
        <v>1777</v>
      </c>
      <c r="D2400" s="635"/>
      <c r="E2400" s="635" t="s">
        <v>1494</v>
      </c>
      <c r="F2400" s="465" t="s">
        <v>96</v>
      </c>
      <c r="G2400" s="466">
        <v>0</v>
      </c>
      <c r="H2400" s="466">
        <v>0.323</v>
      </c>
      <c r="I2400" s="467">
        <v>0.323</v>
      </c>
      <c r="J2400" s="468">
        <v>0</v>
      </c>
    </row>
    <row r="2401" spans="1:10" ht="12.75" outlineLevel="2">
      <c r="A2401" s="645">
        <v>2142138359</v>
      </c>
      <c r="B2401" s="635" t="s">
        <v>509</v>
      </c>
      <c r="C2401" s="635" t="s">
        <v>1780</v>
      </c>
      <c r="D2401" s="635"/>
      <c r="E2401" s="635" t="s">
        <v>1494</v>
      </c>
      <c r="F2401" s="465" t="s">
        <v>96</v>
      </c>
      <c r="G2401" s="466">
        <v>0</v>
      </c>
      <c r="H2401" s="466">
        <v>0.76</v>
      </c>
      <c r="I2401" s="467">
        <v>0.76</v>
      </c>
      <c r="J2401" s="468">
        <v>0</v>
      </c>
    </row>
    <row r="2402" spans="1:10" ht="12.75" outlineLevel="2">
      <c r="A2402" s="645">
        <v>2142138360</v>
      </c>
      <c r="B2402" s="635" t="s">
        <v>524</v>
      </c>
      <c r="C2402" s="635" t="s">
        <v>1802</v>
      </c>
      <c r="D2402" s="635"/>
      <c r="E2402" s="635" t="s">
        <v>1494</v>
      </c>
      <c r="F2402" s="465" t="s">
        <v>96</v>
      </c>
      <c r="G2402" s="466">
        <v>0</v>
      </c>
      <c r="H2402" s="466">
        <v>0.7</v>
      </c>
      <c r="I2402" s="467">
        <v>0.7</v>
      </c>
      <c r="J2402" s="468">
        <v>0</v>
      </c>
    </row>
    <row r="2403" spans="1:10" ht="12.75" outlineLevel="2">
      <c r="A2403" s="645">
        <v>2142138361</v>
      </c>
      <c r="B2403" s="635" t="s">
        <v>778</v>
      </c>
      <c r="C2403" s="635" t="s">
        <v>1804</v>
      </c>
      <c r="D2403" s="635"/>
      <c r="E2403" s="635" t="s">
        <v>1494</v>
      </c>
      <c r="F2403" s="465" t="s">
        <v>96</v>
      </c>
      <c r="G2403" s="466">
        <v>0</v>
      </c>
      <c r="H2403" s="466">
        <v>0.7</v>
      </c>
      <c r="I2403" s="467">
        <v>0.7</v>
      </c>
      <c r="J2403" s="468">
        <v>0</v>
      </c>
    </row>
    <row r="2404" spans="1:10" ht="12.75" outlineLevel="2">
      <c r="A2404" s="645">
        <v>2142138362</v>
      </c>
      <c r="B2404" s="635" t="s">
        <v>525</v>
      </c>
      <c r="C2404" s="635" t="s">
        <v>1788</v>
      </c>
      <c r="D2404" s="635"/>
      <c r="E2404" s="635" t="s">
        <v>1494</v>
      </c>
      <c r="F2404" s="465" t="s">
        <v>1845</v>
      </c>
      <c r="G2404" s="466">
        <v>0</v>
      </c>
      <c r="H2404" s="466">
        <v>0.018</v>
      </c>
      <c r="I2404" s="467">
        <v>0.017</v>
      </c>
      <c r="J2404" s="468">
        <v>0.001</v>
      </c>
    </row>
    <row r="2405" spans="1:10" ht="12.75" outlineLevel="2">
      <c r="A2405" s="645">
        <v>2142138362</v>
      </c>
      <c r="B2405" s="635" t="s">
        <v>525</v>
      </c>
      <c r="C2405" s="635" t="s">
        <v>1788</v>
      </c>
      <c r="D2405" s="635"/>
      <c r="E2405" s="635" t="s">
        <v>1494</v>
      </c>
      <c r="F2405" s="465" t="s">
        <v>96</v>
      </c>
      <c r="G2405" s="466">
        <v>0</v>
      </c>
      <c r="H2405" s="466">
        <v>0.597</v>
      </c>
      <c r="I2405" s="467">
        <v>0.597</v>
      </c>
      <c r="J2405" s="468">
        <v>0</v>
      </c>
    </row>
    <row r="2406" spans="1:10" ht="12.75" outlineLevel="2">
      <c r="A2406" s="645">
        <v>2142138363</v>
      </c>
      <c r="B2406" s="635" t="s">
        <v>780</v>
      </c>
      <c r="C2406" s="635" t="s">
        <v>1796</v>
      </c>
      <c r="D2406" s="635"/>
      <c r="E2406" s="635" t="s">
        <v>1494</v>
      </c>
      <c r="F2406" s="465" t="s">
        <v>96</v>
      </c>
      <c r="G2406" s="466">
        <v>0</v>
      </c>
      <c r="H2406" s="466">
        <v>2</v>
      </c>
      <c r="I2406" s="467">
        <v>2</v>
      </c>
      <c r="J2406" s="468">
        <v>0</v>
      </c>
    </row>
    <row r="2407" spans="1:10" ht="12.75" outlineLevel="2">
      <c r="A2407" s="645">
        <v>2142138364</v>
      </c>
      <c r="B2407" s="635" t="s">
        <v>526</v>
      </c>
      <c r="C2407" s="635" t="s">
        <v>1794</v>
      </c>
      <c r="D2407" s="635"/>
      <c r="E2407" s="635" t="s">
        <v>1494</v>
      </c>
      <c r="F2407" s="465" t="s">
        <v>333</v>
      </c>
      <c r="G2407" s="466">
        <v>0</v>
      </c>
      <c r="H2407" s="466">
        <v>0</v>
      </c>
      <c r="I2407" s="467">
        <v>0.176</v>
      </c>
      <c r="J2407" s="468">
        <v>0</v>
      </c>
    </row>
    <row r="2408" spans="1:10" ht="12.75" outlineLevel="2">
      <c r="A2408" s="645">
        <v>2142138365</v>
      </c>
      <c r="B2408" s="635" t="s">
        <v>511</v>
      </c>
      <c r="C2408" s="635" t="s">
        <v>1780</v>
      </c>
      <c r="D2408" s="635"/>
      <c r="E2408" s="635" t="s">
        <v>1494</v>
      </c>
      <c r="F2408" s="465" t="s">
        <v>96</v>
      </c>
      <c r="G2408" s="466">
        <v>0</v>
      </c>
      <c r="H2408" s="466">
        <v>2</v>
      </c>
      <c r="I2408" s="467">
        <v>1.999</v>
      </c>
      <c r="J2408" s="468">
        <v>0.001</v>
      </c>
    </row>
    <row r="2409" spans="1:10" ht="12.75" outlineLevel="2">
      <c r="A2409" s="645">
        <v>2142138366</v>
      </c>
      <c r="B2409" s="635" t="s">
        <v>527</v>
      </c>
      <c r="C2409" s="635" t="s">
        <v>1777</v>
      </c>
      <c r="D2409" s="635"/>
      <c r="E2409" s="635" t="s">
        <v>1494</v>
      </c>
      <c r="F2409" s="465" t="s">
        <v>96</v>
      </c>
      <c r="G2409" s="466">
        <v>0</v>
      </c>
      <c r="H2409" s="466">
        <v>3.38</v>
      </c>
      <c r="I2409" s="467">
        <v>3.377</v>
      </c>
      <c r="J2409" s="468">
        <v>0.003</v>
      </c>
    </row>
    <row r="2410" spans="1:10" ht="12.75" outlineLevel="2">
      <c r="A2410" s="645">
        <v>2142138367</v>
      </c>
      <c r="B2410" s="635" t="s">
        <v>528</v>
      </c>
      <c r="C2410" s="635" t="s">
        <v>1777</v>
      </c>
      <c r="D2410" s="635"/>
      <c r="E2410" s="635" t="s">
        <v>1494</v>
      </c>
      <c r="F2410" s="465" t="s">
        <v>96</v>
      </c>
      <c r="G2410" s="466">
        <v>0</v>
      </c>
      <c r="H2410" s="466">
        <v>0.12</v>
      </c>
      <c r="I2410" s="467">
        <v>0.12</v>
      </c>
      <c r="J2410" s="468">
        <v>0</v>
      </c>
    </row>
    <row r="2411" spans="1:10" ht="12.75" outlineLevel="2">
      <c r="A2411" s="645">
        <v>2142138368</v>
      </c>
      <c r="B2411" s="635" t="s">
        <v>957</v>
      </c>
      <c r="C2411" s="635" t="s">
        <v>1780</v>
      </c>
      <c r="D2411" s="635"/>
      <c r="E2411" s="635" t="s">
        <v>1494</v>
      </c>
      <c r="F2411" s="465" t="s">
        <v>96</v>
      </c>
      <c r="G2411" s="466">
        <v>0</v>
      </c>
      <c r="H2411" s="466">
        <v>0.077</v>
      </c>
      <c r="I2411" s="467">
        <v>0.077</v>
      </c>
      <c r="J2411" s="468">
        <v>0</v>
      </c>
    </row>
    <row r="2412" spans="1:10" ht="12.75" outlineLevel="2">
      <c r="A2412" s="645">
        <v>2142147003</v>
      </c>
      <c r="B2412" s="635" t="s">
        <v>529</v>
      </c>
      <c r="C2412" s="635" t="s">
        <v>1777</v>
      </c>
      <c r="D2412" s="635"/>
      <c r="E2412" s="635" t="s">
        <v>1494</v>
      </c>
      <c r="F2412" s="465" t="s">
        <v>96</v>
      </c>
      <c r="G2412" s="466">
        <v>42</v>
      </c>
      <c r="H2412" s="466">
        <v>14.035</v>
      </c>
      <c r="I2412" s="467">
        <v>14.035</v>
      </c>
      <c r="J2412" s="468">
        <v>0</v>
      </c>
    </row>
    <row r="2413" spans="1:10" ht="12.75" outlineLevel="2">
      <c r="A2413" s="645">
        <v>2142147007</v>
      </c>
      <c r="B2413" s="635" t="s">
        <v>530</v>
      </c>
      <c r="C2413" s="635" t="s">
        <v>1777</v>
      </c>
      <c r="D2413" s="635"/>
      <c r="E2413" s="635" t="s">
        <v>1494</v>
      </c>
      <c r="F2413" s="465" t="s">
        <v>333</v>
      </c>
      <c r="G2413" s="466">
        <v>0</v>
      </c>
      <c r="H2413" s="466">
        <v>0</v>
      </c>
      <c r="I2413" s="467">
        <v>0.1</v>
      </c>
      <c r="J2413" s="468">
        <v>0</v>
      </c>
    </row>
    <row r="2414" spans="1:10" ht="12.75" outlineLevel="2">
      <c r="A2414" s="645">
        <v>2142148001</v>
      </c>
      <c r="B2414" s="635" t="s">
        <v>531</v>
      </c>
      <c r="C2414" s="635" t="s">
        <v>1777</v>
      </c>
      <c r="D2414" s="635"/>
      <c r="E2414" s="635" t="s">
        <v>1533</v>
      </c>
      <c r="F2414" s="465" t="s">
        <v>96</v>
      </c>
      <c r="G2414" s="466">
        <v>100</v>
      </c>
      <c r="H2414" s="466">
        <v>0</v>
      </c>
      <c r="I2414" s="467">
        <v>0</v>
      </c>
      <c r="J2414" s="468">
        <v>0</v>
      </c>
    </row>
    <row r="2415" spans="1:10" ht="12.75" outlineLevel="2">
      <c r="A2415" s="645">
        <v>2142148002</v>
      </c>
      <c r="B2415" s="635" t="s">
        <v>532</v>
      </c>
      <c r="C2415" s="635" t="s">
        <v>1777</v>
      </c>
      <c r="D2415" s="635"/>
      <c r="E2415" s="635" t="s">
        <v>1533</v>
      </c>
      <c r="F2415" s="465" t="s">
        <v>96</v>
      </c>
      <c r="G2415" s="466">
        <v>3</v>
      </c>
      <c r="H2415" s="466">
        <v>0</v>
      </c>
      <c r="I2415" s="467">
        <v>0</v>
      </c>
      <c r="J2415" s="468">
        <v>0</v>
      </c>
    </row>
    <row r="2416" spans="1:10" ht="12.75" outlineLevel="2">
      <c r="A2416" s="645">
        <v>2142148003</v>
      </c>
      <c r="B2416" s="635" t="s">
        <v>533</v>
      </c>
      <c r="C2416" s="635" t="s">
        <v>1777</v>
      </c>
      <c r="D2416" s="635"/>
      <c r="E2416" s="635" t="s">
        <v>1494</v>
      </c>
      <c r="F2416" s="465" t="s">
        <v>96</v>
      </c>
      <c r="G2416" s="466">
        <v>0</v>
      </c>
      <c r="H2416" s="466">
        <v>2</v>
      </c>
      <c r="I2416" s="467">
        <v>2</v>
      </c>
      <c r="J2416" s="468">
        <v>0</v>
      </c>
    </row>
    <row r="2417" spans="1:10" ht="12.75" outlineLevel="2">
      <c r="A2417" s="645">
        <v>2142148004</v>
      </c>
      <c r="B2417" s="635" t="s">
        <v>534</v>
      </c>
      <c r="C2417" s="635" t="s">
        <v>1777</v>
      </c>
      <c r="D2417" s="635"/>
      <c r="E2417" s="635" t="s">
        <v>1494</v>
      </c>
      <c r="F2417" s="465" t="s">
        <v>96</v>
      </c>
      <c r="G2417" s="466">
        <v>0</v>
      </c>
      <c r="H2417" s="466">
        <v>2</v>
      </c>
      <c r="I2417" s="467">
        <v>2</v>
      </c>
      <c r="J2417" s="468">
        <v>0</v>
      </c>
    </row>
    <row r="2418" spans="1:10" ht="12.75" outlineLevel="2">
      <c r="A2418" s="645">
        <v>2142148005</v>
      </c>
      <c r="B2418" s="635" t="s">
        <v>535</v>
      </c>
      <c r="C2418" s="635" t="s">
        <v>1777</v>
      </c>
      <c r="D2418" s="635"/>
      <c r="E2418" s="635" t="s">
        <v>1494</v>
      </c>
      <c r="F2418" s="465" t="s">
        <v>96</v>
      </c>
      <c r="G2418" s="466">
        <v>0</v>
      </c>
      <c r="H2418" s="466">
        <v>2</v>
      </c>
      <c r="I2418" s="467">
        <v>2</v>
      </c>
      <c r="J2418" s="468">
        <v>0</v>
      </c>
    </row>
    <row r="2419" spans="1:10" ht="12.75" outlineLevel="2">
      <c r="A2419" s="645">
        <v>2142148006</v>
      </c>
      <c r="B2419" s="635" t="s">
        <v>536</v>
      </c>
      <c r="C2419" s="635" t="s">
        <v>1777</v>
      </c>
      <c r="D2419" s="635"/>
      <c r="E2419" s="635" t="s">
        <v>1494</v>
      </c>
      <c r="F2419" s="465" t="s">
        <v>96</v>
      </c>
      <c r="G2419" s="466">
        <v>0</v>
      </c>
      <c r="H2419" s="466">
        <v>2</v>
      </c>
      <c r="I2419" s="467">
        <v>2</v>
      </c>
      <c r="J2419" s="468">
        <v>0</v>
      </c>
    </row>
    <row r="2420" spans="1:10" ht="12.75" outlineLevel="2">
      <c r="A2420" s="645">
        <v>2142148007</v>
      </c>
      <c r="B2420" s="635" t="s">
        <v>537</v>
      </c>
      <c r="C2420" s="635" t="s">
        <v>1777</v>
      </c>
      <c r="D2420" s="635"/>
      <c r="E2420" s="635" t="s">
        <v>1494</v>
      </c>
      <c r="F2420" s="465" t="s">
        <v>96</v>
      </c>
      <c r="G2420" s="466">
        <v>0</v>
      </c>
      <c r="H2420" s="466">
        <v>2</v>
      </c>
      <c r="I2420" s="467">
        <v>2</v>
      </c>
      <c r="J2420" s="468">
        <v>0</v>
      </c>
    </row>
    <row r="2421" spans="1:10" ht="12.75" outlineLevel="2">
      <c r="A2421" s="645">
        <v>2142148008</v>
      </c>
      <c r="B2421" s="635" t="s">
        <v>538</v>
      </c>
      <c r="C2421" s="635" t="s">
        <v>1777</v>
      </c>
      <c r="D2421" s="635"/>
      <c r="E2421" s="635" t="s">
        <v>1494</v>
      </c>
      <c r="F2421" s="465" t="s">
        <v>96</v>
      </c>
      <c r="G2421" s="466">
        <v>0</v>
      </c>
      <c r="H2421" s="466">
        <v>2</v>
      </c>
      <c r="I2421" s="467">
        <v>2</v>
      </c>
      <c r="J2421" s="468">
        <v>0</v>
      </c>
    </row>
    <row r="2422" spans="1:10" ht="12.75" outlineLevel="2">
      <c r="A2422" s="645">
        <v>2142148009</v>
      </c>
      <c r="B2422" s="635" t="s">
        <v>539</v>
      </c>
      <c r="C2422" s="635" t="s">
        <v>1777</v>
      </c>
      <c r="D2422" s="635"/>
      <c r="E2422" s="635" t="s">
        <v>1494</v>
      </c>
      <c r="F2422" s="465" t="s">
        <v>96</v>
      </c>
      <c r="G2422" s="466">
        <v>0</v>
      </c>
      <c r="H2422" s="466">
        <v>2</v>
      </c>
      <c r="I2422" s="467">
        <v>2</v>
      </c>
      <c r="J2422" s="468">
        <v>0</v>
      </c>
    </row>
    <row r="2423" spans="1:10" ht="12.75" outlineLevel="2">
      <c r="A2423" s="645">
        <v>2142148010</v>
      </c>
      <c r="B2423" s="635" t="s">
        <v>540</v>
      </c>
      <c r="C2423" s="635" t="s">
        <v>1777</v>
      </c>
      <c r="D2423" s="635"/>
      <c r="E2423" s="635" t="s">
        <v>1494</v>
      </c>
      <c r="F2423" s="465" t="s">
        <v>96</v>
      </c>
      <c r="G2423" s="466">
        <v>0</v>
      </c>
      <c r="H2423" s="466">
        <v>2</v>
      </c>
      <c r="I2423" s="467">
        <v>2</v>
      </c>
      <c r="J2423" s="468">
        <v>0</v>
      </c>
    </row>
    <row r="2424" spans="1:10" ht="12.75" outlineLevel="2">
      <c r="A2424" s="645">
        <v>2142148011</v>
      </c>
      <c r="B2424" s="635" t="s">
        <v>541</v>
      </c>
      <c r="C2424" s="635" t="s">
        <v>1777</v>
      </c>
      <c r="D2424" s="635"/>
      <c r="E2424" s="635" t="s">
        <v>1494</v>
      </c>
      <c r="F2424" s="465" t="s">
        <v>96</v>
      </c>
      <c r="G2424" s="466">
        <v>0</v>
      </c>
      <c r="H2424" s="466">
        <v>2</v>
      </c>
      <c r="I2424" s="467">
        <v>2</v>
      </c>
      <c r="J2424" s="468">
        <v>0</v>
      </c>
    </row>
    <row r="2425" spans="1:10" ht="12.75" outlineLevel="2">
      <c r="A2425" s="645">
        <v>2142148012</v>
      </c>
      <c r="B2425" s="635" t="s">
        <v>542</v>
      </c>
      <c r="C2425" s="635" t="s">
        <v>1777</v>
      </c>
      <c r="D2425" s="635"/>
      <c r="E2425" s="635" t="s">
        <v>1494</v>
      </c>
      <c r="F2425" s="465" t="s">
        <v>96</v>
      </c>
      <c r="G2425" s="466">
        <v>0</v>
      </c>
      <c r="H2425" s="466">
        <v>2</v>
      </c>
      <c r="I2425" s="467">
        <v>2</v>
      </c>
      <c r="J2425" s="468">
        <v>0</v>
      </c>
    </row>
    <row r="2426" spans="1:10" ht="12.75" outlineLevel="2">
      <c r="A2426" s="645">
        <v>2142148013</v>
      </c>
      <c r="B2426" s="635" t="s">
        <v>543</v>
      </c>
      <c r="C2426" s="635" t="s">
        <v>1777</v>
      </c>
      <c r="D2426" s="635"/>
      <c r="E2426" s="635" t="s">
        <v>1494</v>
      </c>
      <c r="F2426" s="465" t="s">
        <v>96</v>
      </c>
      <c r="G2426" s="466">
        <v>0</v>
      </c>
      <c r="H2426" s="466">
        <v>2</v>
      </c>
      <c r="I2426" s="467">
        <v>2</v>
      </c>
      <c r="J2426" s="468">
        <v>0</v>
      </c>
    </row>
    <row r="2427" spans="1:10" ht="12.75" outlineLevel="2">
      <c r="A2427" s="645">
        <v>2142148015</v>
      </c>
      <c r="B2427" s="635" t="s">
        <v>544</v>
      </c>
      <c r="C2427" s="635" t="s">
        <v>1777</v>
      </c>
      <c r="D2427" s="635"/>
      <c r="E2427" s="635" t="s">
        <v>1494</v>
      </c>
      <c r="F2427" s="465" t="s">
        <v>96</v>
      </c>
      <c r="G2427" s="466">
        <v>0</v>
      </c>
      <c r="H2427" s="466">
        <v>2</v>
      </c>
      <c r="I2427" s="467">
        <v>2</v>
      </c>
      <c r="J2427" s="468">
        <v>0</v>
      </c>
    </row>
    <row r="2428" spans="1:10" ht="12.75" outlineLevel="2">
      <c r="A2428" s="645">
        <v>2142148016</v>
      </c>
      <c r="B2428" s="635" t="s">
        <v>545</v>
      </c>
      <c r="C2428" s="635" t="s">
        <v>1777</v>
      </c>
      <c r="D2428" s="635"/>
      <c r="E2428" s="635" t="s">
        <v>1494</v>
      </c>
      <c r="F2428" s="465" t="s">
        <v>96</v>
      </c>
      <c r="G2428" s="466">
        <v>0</v>
      </c>
      <c r="H2428" s="466">
        <v>2</v>
      </c>
      <c r="I2428" s="467">
        <v>2</v>
      </c>
      <c r="J2428" s="468">
        <v>0</v>
      </c>
    </row>
    <row r="2429" spans="1:10" ht="12.75" outlineLevel="2">
      <c r="A2429" s="645">
        <v>2142148017</v>
      </c>
      <c r="B2429" s="635" t="s">
        <v>546</v>
      </c>
      <c r="C2429" s="635" t="s">
        <v>1777</v>
      </c>
      <c r="D2429" s="635"/>
      <c r="E2429" s="635" t="s">
        <v>1494</v>
      </c>
      <c r="F2429" s="465" t="s">
        <v>96</v>
      </c>
      <c r="G2429" s="466">
        <v>0</v>
      </c>
      <c r="H2429" s="466">
        <v>2</v>
      </c>
      <c r="I2429" s="467">
        <v>0</v>
      </c>
      <c r="J2429" s="468">
        <v>2</v>
      </c>
    </row>
    <row r="2430" spans="1:10" ht="12.75" outlineLevel="2">
      <c r="A2430" s="645">
        <v>2142148018</v>
      </c>
      <c r="B2430" s="635" t="s">
        <v>547</v>
      </c>
      <c r="C2430" s="635" t="s">
        <v>1777</v>
      </c>
      <c r="D2430" s="635"/>
      <c r="E2430" s="635" t="s">
        <v>1494</v>
      </c>
      <c r="F2430" s="465" t="s">
        <v>96</v>
      </c>
      <c r="G2430" s="466">
        <v>0</v>
      </c>
      <c r="H2430" s="466">
        <v>2</v>
      </c>
      <c r="I2430" s="467">
        <v>2</v>
      </c>
      <c r="J2430" s="468">
        <v>0</v>
      </c>
    </row>
    <row r="2431" spans="1:10" ht="12.75" outlineLevel="2">
      <c r="A2431" s="645">
        <v>2142148019</v>
      </c>
      <c r="B2431" s="635" t="s">
        <v>548</v>
      </c>
      <c r="C2431" s="635" t="s">
        <v>1777</v>
      </c>
      <c r="D2431" s="635"/>
      <c r="E2431" s="635" t="s">
        <v>1494</v>
      </c>
      <c r="F2431" s="465" t="s">
        <v>96</v>
      </c>
      <c r="G2431" s="466">
        <v>0</v>
      </c>
      <c r="H2431" s="466">
        <v>2</v>
      </c>
      <c r="I2431" s="467">
        <v>2</v>
      </c>
      <c r="J2431" s="468">
        <v>0</v>
      </c>
    </row>
    <row r="2432" spans="1:10" ht="12.75" outlineLevel="2">
      <c r="A2432" s="645">
        <v>2142148020</v>
      </c>
      <c r="B2432" s="635" t="s">
        <v>549</v>
      </c>
      <c r="C2432" s="635" t="s">
        <v>1777</v>
      </c>
      <c r="D2432" s="635"/>
      <c r="E2432" s="635" t="s">
        <v>1494</v>
      </c>
      <c r="F2432" s="465" t="s">
        <v>96</v>
      </c>
      <c r="G2432" s="466">
        <v>0</v>
      </c>
      <c r="H2432" s="466">
        <v>2</v>
      </c>
      <c r="I2432" s="467">
        <v>2</v>
      </c>
      <c r="J2432" s="468">
        <v>0</v>
      </c>
    </row>
    <row r="2433" spans="1:10" ht="12.75" outlineLevel="2">
      <c r="A2433" s="645">
        <v>2142148021</v>
      </c>
      <c r="B2433" s="635" t="s">
        <v>550</v>
      </c>
      <c r="C2433" s="635" t="s">
        <v>1777</v>
      </c>
      <c r="D2433" s="635"/>
      <c r="E2433" s="635" t="s">
        <v>1494</v>
      </c>
      <c r="F2433" s="465" t="s">
        <v>96</v>
      </c>
      <c r="G2433" s="466">
        <v>0</v>
      </c>
      <c r="H2433" s="466">
        <v>2</v>
      </c>
      <c r="I2433" s="467">
        <v>2</v>
      </c>
      <c r="J2433" s="468">
        <v>0</v>
      </c>
    </row>
    <row r="2434" spans="1:10" ht="12.75" outlineLevel="2">
      <c r="A2434" s="645">
        <v>2142148022</v>
      </c>
      <c r="B2434" s="635" t="s">
        <v>551</v>
      </c>
      <c r="C2434" s="635" t="s">
        <v>1777</v>
      </c>
      <c r="D2434" s="635"/>
      <c r="E2434" s="635" t="s">
        <v>1494</v>
      </c>
      <c r="F2434" s="465" t="s">
        <v>96</v>
      </c>
      <c r="G2434" s="466">
        <v>0</v>
      </c>
      <c r="H2434" s="466">
        <v>2</v>
      </c>
      <c r="I2434" s="467">
        <v>2</v>
      </c>
      <c r="J2434" s="468">
        <v>0</v>
      </c>
    </row>
    <row r="2435" spans="1:10" ht="12.75" outlineLevel="2">
      <c r="A2435" s="645">
        <v>2142148023</v>
      </c>
      <c r="B2435" s="635" t="s">
        <v>552</v>
      </c>
      <c r="C2435" s="635" t="s">
        <v>1777</v>
      </c>
      <c r="D2435" s="635"/>
      <c r="E2435" s="635" t="s">
        <v>1494</v>
      </c>
      <c r="F2435" s="465" t="s">
        <v>96</v>
      </c>
      <c r="G2435" s="466">
        <v>0</v>
      </c>
      <c r="H2435" s="466">
        <v>2</v>
      </c>
      <c r="I2435" s="467">
        <v>2</v>
      </c>
      <c r="J2435" s="468">
        <v>0</v>
      </c>
    </row>
    <row r="2436" spans="1:10" ht="12.75" outlineLevel="2">
      <c r="A2436" s="645">
        <v>2142148024</v>
      </c>
      <c r="B2436" s="635" t="s">
        <v>553</v>
      </c>
      <c r="C2436" s="635" t="s">
        <v>1777</v>
      </c>
      <c r="D2436" s="635"/>
      <c r="E2436" s="635" t="s">
        <v>1494</v>
      </c>
      <c r="F2436" s="465" t="s">
        <v>96</v>
      </c>
      <c r="G2436" s="466">
        <v>0</v>
      </c>
      <c r="H2436" s="466">
        <v>2</v>
      </c>
      <c r="I2436" s="467">
        <v>2</v>
      </c>
      <c r="J2436" s="468">
        <v>0</v>
      </c>
    </row>
    <row r="2437" spans="1:10" ht="12.75" outlineLevel="2">
      <c r="A2437" s="645">
        <v>2142148025</v>
      </c>
      <c r="B2437" s="635" t="s">
        <v>554</v>
      </c>
      <c r="C2437" s="635" t="s">
        <v>1777</v>
      </c>
      <c r="D2437" s="635"/>
      <c r="E2437" s="635" t="s">
        <v>1494</v>
      </c>
      <c r="F2437" s="465" t="s">
        <v>96</v>
      </c>
      <c r="G2437" s="466">
        <v>0</v>
      </c>
      <c r="H2437" s="466">
        <v>2</v>
      </c>
      <c r="I2437" s="467">
        <v>2</v>
      </c>
      <c r="J2437" s="468">
        <v>0</v>
      </c>
    </row>
    <row r="2438" spans="1:10" ht="12.75" outlineLevel="2">
      <c r="A2438" s="645">
        <v>2142148026</v>
      </c>
      <c r="B2438" s="635" t="s">
        <v>555</v>
      </c>
      <c r="C2438" s="635" t="s">
        <v>1777</v>
      </c>
      <c r="D2438" s="635"/>
      <c r="E2438" s="635" t="s">
        <v>1494</v>
      </c>
      <c r="F2438" s="465" t="s">
        <v>96</v>
      </c>
      <c r="G2438" s="466">
        <v>0</v>
      </c>
      <c r="H2438" s="466">
        <v>2</v>
      </c>
      <c r="I2438" s="467">
        <v>2</v>
      </c>
      <c r="J2438" s="468">
        <v>0</v>
      </c>
    </row>
    <row r="2439" spans="1:10" ht="12.75" outlineLevel="2">
      <c r="A2439" s="645">
        <v>2142148027</v>
      </c>
      <c r="B2439" s="635" t="s">
        <v>1172</v>
      </c>
      <c r="C2439" s="635" t="s">
        <v>1777</v>
      </c>
      <c r="D2439" s="635"/>
      <c r="E2439" s="635" t="s">
        <v>1494</v>
      </c>
      <c r="F2439" s="465" t="s">
        <v>96</v>
      </c>
      <c r="G2439" s="466">
        <v>0</v>
      </c>
      <c r="H2439" s="466">
        <v>2</v>
      </c>
      <c r="I2439" s="467">
        <v>2</v>
      </c>
      <c r="J2439" s="468">
        <v>0</v>
      </c>
    </row>
    <row r="2440" spans="1:10" ht="12.75" outlineLevel="2">
      <c r="A2440" s="645">
        <v>2142148028</v>
      </c>
      <c r="B2440" s="635" t="s">
        <v>1173</v>
      </c>
      <c r="C2440" s="635" t="s">
        <v>1777</v>
      </c>
      <c r="D2440" s="635"/>
      <c r="E2440" s="635" t="s">
        <v>1494</v>
      </c>
      <c r="F2440" s="465" t="s">
        <v>96</v>
      </c>
      <c r="G2440" s="466">
        <v>0</v>
      </c>
      <c r="H2440" s="466">
        <v>2</v>
      </c>
      <c r="I2440" s="467">
        <v>2</v>
      </c>
      <c r="J2440" s="468">
        <v>0</v>
      </c>
    </row>
    <row r="2441" spans="1:10" ht="12.75" outlineLevel="2">
      <c r="A2441" s="645">
        <v>2142148029</v>
      </c>
      <c r="B2441" s="635" t="s">
        <v>1174</v>
      </c>
      <c r="C2441" s="635" t="s">
        <v>1777</v>
      </c>
      <c r="D2441" s="635"/>
      <c r="E2441" s="635" t="s">
        <v>1494</v>
      </c>
      <c r="F2441" s="465" t="s">
        <v>96</v>
      </c>
      <c r="G2441" s="466">
        <v>0</v>
      </c>
      <c r="H2441" s="466">
        <v>2</v>
      </c>
      <c r="I2441" s="467">
        <v>2</v>
      </c>
      <c r="J2441" s="468">
        <v>0</v>
      </c>
    </row>
    <row r="2442" spans="1:10" ht="12.75" outlineLevel="2">
      <c r="A2442" s="645">
        <v>2142148030</v>
      </c>
      <c r="B2442" s="635" t="s">
        <v>1175</v>
      </c>
      <c r="C2442" s="635" t="s">
        <v>1777</v>
      </c>
      <c r="D2442" s="635"/>
      <c r="E2442" s="635" t="s">
        <v>1494</v>
      </c>
      <c r="F2442" s="465" t="s">
        <v>96</v>
      </c>
      <c r="G2442" s="466">
        <v>0</v>
      </c>
      <c r="H2442" s="466">
        <v>2</v>
      </c>
      <c r="I2442" s="467">
        <v>2</v>
      </c>
      <c r="J2442" s="468">
        <v>0</v>
      </c>
    </row>
    <row r="2443" spans="1:10" ht="12.75" outlineLevel="2">
      <c r="A2443" s="645">
        <v>2142148031</v>
      </c>
      <c r="B2443" s="635" t="s">
        <v>1176</v>
      </c>
      <c r="C2443" s="635" t="s">
        <v>1777</v>
      </c>
      <c r="D2443" s="635"/>
      <c r="E2443" s="635" t="s">
        <v>1494</v>
      </c>
      <c r="F2443" s="465" t="s">
        <v>96</v>
      </c>
      <c r="G2443" s="466">
        <v>0</v>
      </c>
      <c r="H2443" s="466">
        <v>2</v>
      </c>
      <c r="I2443" s="467">
        <v>0</v>
      </c>
      <c r="J2443" s="468">
        <v>2</v>
      </c>
    </row>
    <row r="2444" spans="1:10" ht="12.75" outlineLevel="2">
      <c r="A2444" s="645">
        <v>2142148032</v>
      </c>
      <c r="B2444" s="635" t="s">
        <v>1177</v>
      </c>
      <c r="C2444" s="635" t="s">
        <v>1777</v>
      </c>
      <c r="D2444" s="635"/>
      <c r="E2444" s="635" t="s">
        <v>1494</v>
      </c>
      <c r="F2444" s="465" t="s">
        <v>96</v>
      </c>
      <c r="G2444" s="466">
        <v>0</v>
      </c>
      <c r="H2444" s="466">
        <v>2</v>
      </c>
      <c r="I2444" s="467">
        <v>2</v>
      </c>
      <c r="J2444" s="468">
        <v>0</v>
      </c>
    </row>
    <row r="2445" spans="1:10" ht="12.75" outlineLevel="2">
      <c r="A2445" s="645">
        <v>2142148033</v>
      </c>
      <c r="B2445" s="635" t="s">
        <v>1178</v>
      </c>
      <c r="C2445" s="635" t="s">
        <v>1777</v>
      </c>
      <c r="D2445" s="635"/>
      <c r="E2445" s="635" t="s">
        <v>1494</v>
      </c>
      <c r="F2445" s="465" t="s">
        <v>96</v>
      </c>
      <c r="G2445" s="466">
        <v>0</v>
      </c>
      <c r="H2445" s="466">
        <v>2</v>
      </c>
      <c r="I2445" s="467">
        <v>2</v>
      </c>
      <c r="J2445" s="468">
        <v>0</v>
      </c>
    </row>
    <row r="2446" spans="1:10" ht="12.75" outlineLevel="2">
      <c r="A2446" s="645">
        <v>2142148034</v>
      </c>
      <c r="B2446" s="635" t="s">
        <v>1179</v>
      </c>
      <c r="C2446" s="635" t="s">
        <v>1777</v>
      </c>
      <c r="D2446" s="635"/>
      <c r="E2446" s="635" t="s">
        <v>1494</v>
      </c>
      <c r="F2446" s="465" t="s">
        <v>96</v>
      </c>
      <c r="G2446" s="466">
        <v>0</v>
      </c>
      <c r="H2446" s="466">
        <v>2</v>
      </c>
      <c r="I2446" s="467">
        <v>2</v>
      </c>
      <c r="J2446" s="468">
        <v>0</v>
      </c>
    </row>
    <row r="2447" spans="1:10" ht="12.75" outlineLevel="2">
      <c r="A2447" s="645">
        <v>2142148035</v>
      </c>
      <c r="B2447" s="635" t="s">
        <v>1180</v>
      </c>
      <c r="C2447" s="635" t="s">
        <v>1777</v>
      </c>
      <c r="D2447" s="635"/>
      <c r="E2447" s="635" t="s">
        <v>1494</v>
      </c>
      <c r="F2447" s="465" t="s">
        <v>96</v>
      </c>
      <c r="G2447" s="466">
        <v>0</v>
      </c>
      <c r="H2447" s="466">
        <v>2</v>
      </c>
      <c r="I2447" s="467">
        <v>2</v>
      </c>
      <c r="J2447" s="468">
        <v>0</v>
      </c>
    </row>
    <row r="2448" spans="1:10" ht="12.75" outlineLevel="2">
      <c r="A2448" s="645">
        <v>2142148036</v>
      </c>
      <c r="B2448" s="635" t="s">
        <v>1181</v>
      </c>
      <c r="C2448" s="635" t="s">
        <v>1777</v>
      </c>
      <c r="D2448" s="635"/>
      <c r="E2448" s="635" t="s">
        <v>1494</v>
      </c>
      <c r="F2448" s="465" t="s">
        <v>96</v>
      </c>
      <c r="G2448" s="466">
        <v>0</v>
      </c>
      <c r="H2448" s="466">
        <v>2</v>
      </c>
      <c r="I2448" s="467">
        <v>2</v>
      </c>
      <c r="J2448" s="468">
        <v>0</v>
      </c>
    </row>
    <row r="2449" spans="1:10" ht="12.75" outlineLevel="2">
      <c r="A2449" s="645">
        <v>2142148037</v>
      </c>
      <c r="B2449" s="635" t="s">
        <v>1182</v>
      </c>
      <c r="C2449" s="635" t="s">
        <v>1777</v>
      </c>
      <c r="D2449" s="635"/>
      <c r="E2449" s="635" t="s">
        <v>1494</v>
      </c>
      <c r="F2449" s="465" t="s">
        <v>96</v>
      </c>
      <c r="G2449" s="466">
        <v>0</v>
      </c>
      <c r="H2449" s="466">
        <v>2</v>
      </c>
      <c r="I2449" s="467">
        <v>2</v>
      </c>
      <c r="J2449" s="468">
        <v>0</v>
      </c>
    </row>
    <row r="2450" spans="1:10" ht="12.75" outlineLevel="2">
      <c r="A2450" s="645">
        <v>2142148038</v>
      </c>
      <c r="B2450" s="635" t="s">
        <v>1183</v>
      </c>
      <c r="C2450" s="635" t="s">
        <v>1777</v>
      </c>
      <c r="D2450" s="635"/>
      <c r="E2450" s="635" t="s">
        <v>1494</v>
      </c>
      <c r="F2450" s="465" t="s">
        <v>96</v>
      </c>
      <c r="G2450" s="466">
        <v>0</v>
      </c>
      <c r="H2450" s="466">
        <v>2</v>
      </c>
      <c r="I2450" s="467">
        <v>2</v>
      </c>
      <c r="J2450" s="468">
        <v>0</v>
      </c>
    </row>
    <row r="2451" spans="1:10" ht="12.75" outlineLevel="2">
      <c r="A2451" s="645">
        <v>2142148039</v>
      </c>
      <c r="B2451" s="635" t="s">
        <v>1184</v>
      </c>
      <c r="C2451" s="635" t="s">
        <v>1777</v>
      </c>
      <c r="D2451" s="635"/>
      <c r="E2451" s="635" t="s">
        <v>1494</v>
      </c>
      <c r="F2451" s="465" t="s">
        <v>96</v>
      </c>
      <c r="G2451" s="466">
        <v>0</v>
      </c>
      <c r="H2451" s="466">
        <v>2</v>
      </c>
      <c r="I2451" s="467">
        <v>2</v>
      </c>
      <c r="J2451" s="468">
        <v>0</v>
      </c>
    </row>
    <row r="2452" spans="1:10" ht="12.75" outlineLevel="2">
      <c r="A2452" s="645">
        <v>2142148040</v>
      </c>
      <c r="B2452" s="635" t="s">
        <v>1185</v>
      </c>
      <c r="C2452" s="635" t="s">
        <v>1777</v>
      </c>
      <c r="D2452" s="635"/>
      <c r="E2452" s="635" t="s">
        <v>1494</v>
      </c>
      <c r="F2452" s="465" t="s">
        <v>96</v>
      </c>
      <c r="G2452" s="466">
        <v>0</v>
      </c>
      <c r="H2452" s="466">
        <v>2</v>
      </c>
      <c r="I2452" s="467">
        <v>2</v>
      </c>
      <c r="J2452" s="468">
        <v>0</v>
      </c>
    </row>
    <row r="2453" spans="1:10" ht="12.75" outlineLevel="2">
      <c r="A2453" s="645">
        <v>2142148041</v>
      </c>
      <c r="B2453" s="635" t="s">
        <v>1186</v>
      </c>
      <c r="C2453" s="635" t="s">
        <v>1777</v>
      </c>
      <c r="D2453" s="635"/>
      <c r="E2453" s="635" t="s">
        <v>1494</v>
      </c>
      <c r="F2453" s="465" t="s">
        <v>96</v>
      </c>
      <c r="G2453" s="466">
        <v>0</v>
      </c>
      <c r="H2453" s="466">
        <v>2</v>
      </c>
      <c r="I2453" s="467">
        <v>2</v>
      </c>
      <c r="J2453" s="468">
        <v>0</v>
      </c>
    </row>
    <row r="2454" spans="1:10" ht="12.75" outlineLevel="2">
      <c r="A2454" s="645">
        <v>2142148042</v>
      </c>
      <c r="B2454" s="635" t="s">
        <v>1187</v>
      </c>
      <c r="C2454" s="635" t="s">
        <v>1777</v>
      </c>
      <c r="D2454" s="635"/>
      <c r="E2454" s="635" t="s">
        <v>1494</v>
      </c>
      <c r="F2454" s="465" t="s">
        <v>96</v>
      </c>
      <c r="G2454" s="466">
        <v>0</v>
      </c>
      <c r="H2454" s="466">
        <v>2</v>
      </c>
      <c r="I2454" s="467">
        <v>2</v>
      </c>
      <c r="J2454" s="468">
        <v>0</v>
      </c>
    </row>
    <row r="2455" spans="1:10" ht="12.75" outlineLevel="2">
      <c r="A2455" s="645">
        <v>2142148043</v>
      </c>
      <c r="B2455" s="635" t="s">
        <v>1188</v>
      </c>
      <c r="C2455" s="635" t="s">
        <v>1777</v>
      </c>
      <c r="D2455" s="635"/>
      <c r="E2455" s="635" t="s">
        <v>1494</v>
      </c>
      <c r="F2455" s="465" t="s">
        <v>96</v>
      </c>
      <c r="G2455" s="466">
        <v>0</v>
      </c>
      <c r="H2455" s="466">
        <v>2</v>
      </c>
      <c r="I2455" s="467">
        <v>2</v>
      </c>
      <c r="J2455" s="468">
        <v>0</v>
      </c>
    </row>
    <row r="2456" spans="1:10" ht="12.75" outlineLevel="2">
      <c r="A2456" s="645">
        <v>2142148044</v>
      </c>
      <c r="B2456" s="635" t="s">
        <v>1189</v>
      </c>
      <c r="C2456" s="635" t="s">
        <v>1777</v>
      </c>
      <c r="D2456" s="635"/>
      <c r="E2456" s="635" t="s">
        <v>1494</v>
      </c>
      <c r="F2456" s="465" t="s">
        <v>96</v>
      </c>
      <c r="G2456" s="466">
        <v>0</v>
      </c>
      <c r="H2456" s="466">
        <v>2</v>
      </c>
      <c r="I2456" s="467">
        <v>2</v>
      </c>
      <c r="J2456" s="468">
        <v>0</v>
      </c>
    </row>
    <row r="2457" spans="1:10" ht="12.75" outlineLevel="2">
      <c r="A2457" s="645">
        <v>2142148045</v>
      </c>
      <c r="B2457" s="635" t="s">
        <v>1190</v>
      </c>
      <c r="C2457" s="635" t="s">
        <v>1777</v>
      </c>
      <c r="D2457" s="635"/>
      <c r="E2457" s="635" t="s">
        <v>1494</v>
      </c>
      <c r="F2457" s="465" t="s">
        <v>96</v>
      </c>
      <c r="G2457" s="466">
        <v>0</v>
      </c>
      <c r="H2457" s="466">
        <v>2</v>
      </c>
      <c r="I2457" s="467">
        <v>2</v>
      </c>
      <c r="J2457" s="468">
        <v>0</v>
      </c>
    </row>
    <row r="2458" spans="1:10" ht="12.75" outlineLevel="2">
      <c r="A2458" s="645">
        <v>2142148046</v>
      </c>
      <c r="B2458" s="635" t="s">
        <v>1191</v>
      </c>
      <c r="C2458" s="635" t="s">
        <v>1777</v>
      </c>
      <c r="D2458" s="635"/>
      <c r="E2458" s="635" t="s">
        <v>1494</v>
      </c>
      <c r="F2458" s="465" t="s">
        <v>96</v>
      </c>
      <c r="G2458" s="466">
        <v>0</v>
      </c>
      <c r="H2458" s="466">
        <v>2</v>
      </c>
      <c r="I2458" s="467">
        <v>1.5</v>
      </c>
      <c r="J2458" s="468">
        <v>0.5</v>
      </c>
    </row>
    <row r="2459" spans="1:10" ht="12.75" outlineLevel="2">
      <c r="A2459" s="645">
        <v>2142148047</v>
      </c>
      <c r="B2459" s="635" t="s">
        <v>1192</v>
      </c>
      <c r="C2459" s="635" t="s">
        <v>1777</v>
      </c>
      <c r="D2459" s="635"/>
      <c r="E2459" s="635" t="s">
        <v>1494</v>
      </c>
      <c r="F2459" s="465" t="s">
        <v>96</v>
      </c>
      <c r="G2459" s="466">
        <v>0</v>
      </c>
      <c r="H2459" s="466">
        <v>2</v>
      </c>
      <c r="I2459" s="467">
        <v>0</v>
      </c>
      <c r="J2459" s="468">
        <v>2</v>
      </c>
    </row>
    <row r="2460" spans="1:10" ht="12.75" outlineLevel="2">
      <c r="A2460" s="645">
        <v>2142148048</v>
      </c>
      <c r="B2460" s="635" t="s">
        <v>1193</v>
      </c>
      <c r="C2460" s="635" t="s">
        <v>1777</v>
      </c>
      <c r="D2460" s="635"/>
      <c r="E2460" s="635" t="s">
        <v>1494</v>
      </c>
      <c r="F2460" s="465" t="s">
        <v>96</v>
      </c>
      <c r="G2460" s="466">
        <v>0</v>
      </c>
      <c r="H2460" s="466">
        <v>2</v>
      </c>
      <c r="I2460" s="467">
        <v>2</v>
      </c>
      <c r="J2460" s="468">
        <v>0</v>
      </c>
    </row>
    <row r="2461" spans="1:10" ht="12.75" outlineLevel="2">
      <c r="A2461" s="645">
        <v>2142148049</v>
      </c>
      <c r="B2461" s="635" t="s">
        <v>1194</v>
      </c>
      <c r="C2461" s="635" t="s">
        <v>1777</v>
      </c>
      <c r="D2461" s="635"/>
      <c r="E2461" s="635" t="s">
        <v>1494</v>
      </c>
      <c r="F2461" s="465" t="s">
        <v>96</v>
      </c>
      <c r="G2461" s="466">
        <v>0</v>
      </c>
      <c r="H2461" s="466">
        <v>2</v>
      </c>
      <c r="I2461" s="467">
        <v>2</v>
      </c>
      <c r="J2461" s="468">
        <v>0</v>
      </c>
    </row>
    <row r="2462" spans="1:10" ht="12.75" outlineLevel="2">
      <c r="A2462" s="645">
        <v>2142148050</v>
      </c>
      <c r="B2462" s="635" t="s">
        <v>1195</v>
      </c>
      <c r="C2462" s="635" t="s">
        <v>1777</v>
      </c>
      <c r="D2462" s="635"/>
      <c r="E2462" s="635" t="s">
        <v>1494</v>
      </c>
      <c r="F2462" s="465" t="s">
        <v>96</v>
      </c>
      <c r="G2462" s="466">
        <v>0</v>
      </c>
      <c r="H2462" s="466">
        <v>2</v>
      </c>
      <c r="I2462" s="467">
        <v>2</v>
      </c>
      <c r="J2462" s="468">
        <v>0</v>
      </c>
    </row>
    <row r="2463" spans="1:10" ht="12.75" outlineLevel="2">
      <c r="A2463" s="645">
        <v>2142148051</v>
      </c>
      <c r="B2463" s="635" t="s">
        <v>1196</v>
      </c>
      <c r="C2463" s="635" t="s">
        <v>1777</v>
      </c>
      <c r="D2463" s="635"/>
      <c r="E2463" s="635" t="s">
        <v>1494</v>
      </c>
      <c r="F2463" s="465" t="s">
        <v>96</v>
      </c>
      <c r="G2463" s="466">
        <v>0</v>
      </c>
      <c r="H2463" s="466">
        <v>2</v>
      </c>
      <c r="I2463" s="467">
        <v>2</v>
      </c>
      <c r="J2463" s="468">
        <v>0</v>
      </c>
    </row>
    <row r="2464" spans="1:10" ht="12.75" outlineLevel="2">
      <c r="A2464" s="645">
        <v>2142148052</v>
      </c>
      <c r="B2464" s="635" t="s">
        <v>1197</v>
      </c>
      <c r="C2464" s="635" t="s">
        <v>1777</v>
      </c>
      <c r="D2464" s="635"/>
      <c r="E2464" s="635" t="s">
        <v>1494</v>
      </c>
      <c r="F2464" s="465" t="s">
        <v>96</v>
      </c>
      <c r="G2464" s="466">
        <v>0</v>
      </c>
      <c r="H2464" s="466">
        <v>2</v>
      </c>
      <c r="I2464" s="467">
        <v>2</v>
      </c>
      <c r="J2464" s="468">
        <v>0</v>
      </c>
    </row>
    <row r="2465" spans="1:10" ht="12.75" outlineLevel="2">
      <c r="A2465" s="645">
        <v>2142148053</v>
      </c>
      <c r="B2465" s="635" t="s">
        <v>1198</v>
      </c>
      <c r="C2465" s="635" t="s">
        <v>1777</v>
      </c>
      <c r="D2465" s="635"/>
      <c r="E2465" s="635" t="s">
        <v>1494</v>
      </c>
      <c r="F2465" s="465" t="s">
        <v>96</v>
      </c>
      <c r="G2465" s="466">
        <v>0</v>
      </c>
      <c r="H2465" s="466">
        <v>0.539</v>
      </c>
      <c r="I2465" s="467">
        <v>0.539</v>
      </c>
      <c r="J2465" s="468">
        <v>0</v>
      </c>
    </row>
    <row r="2466" spans="1:10" ht="12.75" outlineLevel="2">
      <c r="A2466" s="645">
        <v>2142148054</v>
      </c>
      <c r="B2466" s="635" t="s">
        <v>1199</v>
      </c>
      <c r="C2466" s="635" t="s">
        <v>1777</v>
      </c>
      <c r="D2466" s="635"/>
      <c r="E2466" s="635" t="s">
        <v>1494</v>
      </c>
      <c r="F2466" s="465" t="s">
        <v>96</v>
      </c>
      <c r="G2466" s="466">
        <v>0</v>
      </c>
      <c r="H2466" s="466">
        <v>0.15</v>
      </c>
      <c r="I2466" s="467">
        <v>0.15</v>
      </c>
      <c r="J2466" s="468">
        <v>0</v>
      </c>
    </row>
    <row r="2467" spans="1:10" ht="12.75" outlineLevel="2">
      <c r="A2467" s="645">
        <v>2142148055</v>
      </c>
      <c r="B2467" s="635" t="s">
        <v>1200</v>
      </c>
      <c r="C2467" s="635" t="s">
        <v>1777</v>
      </c>
      <c r="D2467" s="635"/>
      <c r="E2467" s="635" t="s">
        <v>1494</v>
      </c>
      <c r="F2467" s="465" t="s">
        <v>96</v>
      </c>
      <c r="G2467" s="466">
        <v>0</v>
      </c>
      <c r="H2467" s="466">
        <v>0.161</v>
      </c>
      <c r="I2467" s="467">
        <v>0.161</v>
      </c>
      <c r="J2467" s="468">
        <v>0</v>
      </c>
    </row>
    <row r="2468" spans="1:10" ht="12.75" outlineLevel="2">
      <c r="A2468" s="645">
        <v>2142148056</v>
      </c>
      <c r="B2468" s="635" t="s">
        <v>1201</v>
      </c>
      <c r="C2468" s="635" t="s">
        <v>1777</v>
      </c>
      <c r="D2468" s="635"/>
      <c r="E2468" s="635" t="s">
        <v>1494</v>
      </c>
      <c r="F2468" s="465" t="s">
        <v>96</v>
      </c>
      <c r="G2468" s="466">
        <v>0</v>
      </c>
      <c r="H2468" s="466">
        <v>0.26</v>
      </c>
      <c r="I2468" s="467">
        <v>0.26</v>
      </c>
      <c r="J2468" s="468">
        <v>0</v>
      </c>
    </row>
    <row r="2469" spans="1:10" ht="12.75" outlineLevel="2">
      <c r="A2469" s="645">
        <v>2142148057</v>
      </c>
      <c r="B2469" s="635" t="s">
        <v>1202</v>
      </c>
      <c r="C2469" s="635" t="s">
        <v>1777</v>
      </c>
      <c r="D2469" s="635"/>
      <c r="E2469" s="635" t="s">
        <v>1494</v>
      </c>
      <c r="F2469" s="465" t="s">
        <v>96</v>
      </c>
      <c r="G2469" s="466">
        <v>0</v>
      </c>
      <c r="H2469" s="466">
        <v>0.12</v>
      </c>
      <c r="I2469" s="467">
        <v>0.12</v>
      </c>
      <c r="J2469" s="468">
        <v>0</v>
      </c>
    </row>
    <row r="2470" spans="1:10" ht="12.75" outlineLevel="2">
      <c r="A2470" s="645">
        <v>2142148058</v>
      </c>
      <c r="B2470" s="635" t="s">
        <v>1203</v>
      </c>
      <c r="C2470" s="635" t="s">
        <v>1777</v>
      </c>
      <c r="D2470" s="635"/>
      <c r="E2470" s="635" t="s">
        <v>1494</v>
      </c>
      <c r="F2470" s="465" t="s">
        <v>96</v>
      </c>
      <c r="G2470" s="466">
        <v>0</v>
      </c>
      <c r="H2470" s="466">
        <v>0.21</v>
      </c>
      <c r="I2470" s="467">
        <v>0.21</v>
      </c>
      <c r="J2470" s="468">
        <v>0</v>
      </c>
    </row>
    <row r="2471" spans="1:10" ht="12.75" outlineLevel="2">
      <c r="A2471" s="645">
        <v>2142148059</v>
      </c>
      <c r="B2471" s="635" t="s">
        <v>1204</v>
      </c>
      <c r="C2471" s="635" t="s">
        <v>1777</v>
      </c>
      <c r="D2471" s="635"/>
      <c r="E2471" s="635" t="s">
        <v>1494</v>
      </c>
      <c r="F2471" s="465" t="s">
        <v>96</v>
      </c>
      <c r="G2471" s="466">
        <v>0</v>
      </c>
      <c r="H2471" s="466">
        <v>0.18</v>
      </c>
      <c r="I2471" s="467">
        <v>0.18</v>
      </c>
      <c r="J2471" s="468">
        <v>0</v>
      </c>
    </row>
    <row r="2472" spans="1:10" ht="12.75" outlineLevel="2">
      <c r="A2472" s="645">
        <v>2142148060</v>
      </c>
      <c r="B2472" s="635" t="s">
        <v>1205</v>
      </c>
      <c r="C2472" s="635" t="s">
        <v>1777</v>
      </c>
      <c r="D2472" s="635"/>
      <c r="E2472" s="635" t="s">
        <v>1494</v>
      </c>
      <c r="F2472" s="465" t="s">
        <v>96</v>
      </c>
      <c r="G2472" s="466">
        <v>0</v>
      </c>
      <c r="H2472" s="466">
        <v>0.25</v>
      </c>
      <c r="I2472" s="467">
        <v>0.25</v>
      </c>
      <c r="J2472" s="468">
        <v>0</v>
      </c>
    </row>
    <row r="2473" spans="1:10" ht="12.75" outlineLevel="2">
      <c r="A2473" s="645">
        <v>2142148061</v>
      </c>
      <c r="B2473" s="635" t="s">
        <v>1206</v>
      </c>
      <c r="C2473" s="635" t="s">
        <v>1777</v>
      </c>
      <c r="D2473" s="635"/>
      <c r="E2473" s="635" t="s">
        <v>1494</v>
      </c>
      <c r="F2473" s="465" t="s">
        <v>96</v>
      </c>
      <c r="G2473" s="466">
        <v>0</v>
      </c>
      <c r="H2473" s="466">
        <v>0.07</v>
      </c>
      <c r="I2473" s="467">
        <v>0.07</v>
      </c>
      <c r="J2473" s="468">
        <v>0</v>
      </c>
    </row>
    <row r="2474" spans="1:10" ht="12.75" outlineLevel="2">
      <c r="A2474" s="645">
        <v>2142148062</v>
      </c>
      <c r="B2474" s="635" t="s">
        <v>1207</v>
      </c>
      <c r="C2474" s="635" t="s">
        <v>1777</v>
      </c>
      <c r="D2474" s="635"/>
      <c r="E2474" s="635" t="s">
        <v>1494</v>
      </c>
      <c r="F2474" s="465" t="s">
        <v>96</v>
      </c>
      <c r="G2474" s="466">
        <v>0</v>
      </c>
      <c r="H2474" s="466">
        <v>0.11</v>
      </c>
      <c r="I2474" s="467">
        <v>0.11</v>
      </c>
      <c r="J2474" s="468">
        <v>0</v>
      </c>
    </row>
    <row r="2475" spans="1:10" ht="12.75" outlineLevel="2">
      <c r="A2475" s="645">
        <v>2142148063</v>
      </c>
      <c r="B2475" s="635" t="s">
        <v>1208</v>
      </c>
      <c r="C2475" s="635" t="s">
        <v>1777</v>
      </c>
      <c r="D2475" s="635"/>
      <c r="E2475" s="635" t="s">
        <v>1494</v>
      </c>
      <c r="F2475" s="465" t="s">
        <v>96</v>
      </c>
      <c r="G2475" s="466">
        <v>0</v>
      </c>
      <c r="H2475" s="466">
        <v>0.2</v>
      </c>
      <c r="I2475" s="467">
        <v>0.2</v>
      </c>
      <c r="J2475" s="468">
        <v>0</v>
      </c>
    </row>
    <row r="2476" spans="1:10" ht="12.75" outlineLevel="2">
      <c r="A2476" s="645">
        <v>2142148064</v>
      </c>
      <c r="B2476" s="635" t="s">
        <v>1209</v>
      </c>
      <c r="C2476" s="635" t="s">
        <v>1777</v>
      </c>
      <c r="D2476" s="635"/>
      <c r="E2476" s="635" t="s">
        <v>1494</v>
      </c>
      <c r="F2476" s="465" t="s">
        <v>96</v>
      </c>
      <c r="G2476" s="466">
        <v>0</v>
      </c>
      <c r="H2476" s="466">
        <v>0.1</v>
      </c>
      <c r="I2476" s="467">
        <v>0.1</v>
      </c>
      <c r="J2476" s="468">
        <v>0</v>
      </c>
    </row>
    <row r="2477" spans="1:10" ht="12.75" outlineLevel="2">
      <c r="A2477" s="645">
        <v>2142148065</v>
      </c>
      <c r="B2477" s="635" t="s">
        <v>1210</v>
      </c>
      <c r="C2477" s="635" t="s">
        <v>1777</v>
      </c>
      <c r="D2477" s="635"/>
      <c r="E2477" s="635" t="s">
        <v>1494</v>
      </c>
      <c r="F2477" s="465" t="s">
        <v>96</v>
      </c>
      <c r="G2477" s="466">
        <v>0</v>
      </c>
      <c r="H2477" s="466">
        <v>0.25</v>
      </c>
      <c r="I2477" s="467">
        <v>0.25</v>
      </c>
      <c r="J2477" s="468">
        <v>0</v>
      </c>
    </row>
    <row r="2478" spans="1:10" ht="12.75" outlineLevel="2">
      <c r="A2478" s="645">
        <v>2142148066</v>
      </c>
      <c r="B2478" s="635" t="s">
        <v>1211</v>
      </c>
      <c r="C2478" s="635" t="s">
        <v>1777</v>
      </c>
      <c r="D2478" s="635"/>
      <c r="E2478" s="635" t="s">
        <v>1494</v>
      </c>
      <c r="F2478" s="465" t="s">
        <v>96</v>
      </c>
      <c r="G2478" s="466">
        <v>0</v>
      </c>
      <c r="H2478" s="466">
        <v>3</v>
      </c>
      <c r="I2478" s="467">
        <v>2.143</v>
      </c>
      <c r="J2478" s="468">
        <v>0.857</v>
      </c>
    </row>
    <row r="2479" spans="1:10" ht="12.75" outlineLevel="2">
      <c r="A2479" s="645">
        <v>2142148067</v>
      </c>
      <c r="B2479" s="635" t="s">
        <v>1212</v>
      </c>
      <c r="C2479" s="635" t="s">
        <v>1777</v>
      </c>
      <c r="D2479" s="635"/>
      <c r="E2479" s="635" t="s">
        <v>1494</v>
      </c>
      <c r="F2479" s="465" t="s">
        <v>96</v>
      </c>
      <c r="G2479" s="466">
        <v>0</v>
      </c>
      <c r="H2479" s="466">
        <v>0.5</v>
      </c>
      <c r="I2479" s="467">
        <v>0.5</v>
      </c>
      <c r="J2479" s="468">
        <v>0</v>
      </c>
    </row>
    <row r="2480" spans="1:10" ht="12.75" outlineLevel="2">
      <c r="A2480" s="645">
        <v>2142148068</v>
      </c>
      <c r="B2480" s="635" t="s">
        <v>1213</v>
      </c>
      <c r="C2480" s="635" t="s">
        <v>1777</v>
      </c>
      <c r="D2480" s="635"/>
      <c r="E2480" s="635" t="s">
        <v>1494</v>
      </c>
      <c r="F2480" s="465" t="s">
        <v>96</v>
      </c>
      <c r="G2480" s="466">
        <v>0</v>
      </c>
      <c r="H2480" s="466">
        <v>2</v>
      </c>
      <c r="I2480" s="467">
        <v>2</v>
      </c>
      <c r="J2480" s="468">
        <v>0</v>
      </c>
    </row>
    <row r="2481" spans="1:10" ht="12.75" outlineLevel="2">
      <c r="A2481" s="645">
        <v>2142148069</v>
      </c>
      <c r="B2481" s="635" t="s">
        <v>1214</v>
      </c>
      <c r="C2481" s="635" t="s">
        <v>1777</v>
      </c>
      <c r="D2481" s="635"/>
      <c r="E2481" s="635" t="s">
        <v>1494</v>
      </c>
      <c r="F2481" s="465" t="s">
        <v>96</v>
      </c>
      <c r="G2481" s="466">
        <v>0</v>
      </c>
      <c r="H2481" s="466">
        <v>2</v>
      </c>
      <c r="I2481" s="467">
        <v>2</v>
      </c>
      <c r="J2481" s="468">
        <v>0</v>
      </c>
    </row>
    <row r="2482" spans="1:10" ht="12.75" outlineLevel="2">
      <c r="A2482" s="645">
        <v>2142177003</v>
      </c>
      <c r="B2482" s="635" t="s">
        <v>1215</v>
      </c>
      <c r="C2482" s="635" t="s">
        <v>1804</v>
      </c>
      <c r="D2482" s="635"/>
      <c r="E2482" s="635" t="s">
        <v>1494</v>
      </c>
      <c r="F2482" s="465" t="s">
        <v>96</v>
      </c>
      <c r="G2482" s="466">
        <v>0</v>
      </c>
      <c r="H2482" s="466">
        <v>0.651</v>
      </c>
      <c r="I2482" s="467">
        <v>0.651</v>
      </c>
      <c r="J2482" s="468">
        <v>0</v>
      </c>
    </row>
    <row r="2483" spans="1:10" ht="12.75" outlineLevel="2">
      <c r="A2483" s="645">
        <v>2142178001</v>
      </c>
      <c r="B2483" s="635" t="s">
        <v>1216</v>
      </c>
      <c r="C2483" s="635" t="s">
        <v>1802</v>
      </c>
      <c r="D2483" s="635"/>
      <c r="E2483" s="635" t="s">
        <v>1494</v>
      </c>
      <c r="F2483" s="465" t="s">
        <v>1845</v>
      </c>
      <c r="G2483" s="466">
        <v>0.15</v>
      </c>
      <c r="H2483" s="466">
        <v>0.105</v>
      </c>
      <c r="I2483" s="467">
        <v>0.105</v>
      </c>
      <c r="J2483" s="468">
        <v>0</v>
      </c>
    </row>
    <row r="2484" spans="1:10" ht="12.75" outlineLevel="2">
      <c r="A2484" s="645">
        <v>2142178002</v>
      </c>
      <c r="B2484" s="635" t="s">
        <v>1217</v>
      </c>
      <c r="C2484" s="635" t="s">
        <v>1792</v>
      </c>
      <c r="D2484" s="635"/>
      <c r="E2484" s="635" t="s">
        <v>1494</v>
      </c>
      <c r="F2484" s="465" t="s">
        <v>1845</v>
      </c>
      <c r="G2484" s="466">
        <v>0</v>
      </c>
      <c r="H2484" s="466">
        <v>0.11</v>
      </c>
      <c r="I2484" s="467">
        <v>0.11</v>
      </c>
      <c r="J2484" s="468">
        <v>0</v>
      </c>
    </row>
    <row r="2485" spans="1:10" ht="12.75" outlineLevel="2">
      <c r="A2485" s="645">
        <v>2142178003</v>
      </c>
      <c r="B2485" s="635" t="s">
        <v>1218</v>
      </c>
      <c r="C2485" s="635" t="s">
        <v>1777</v>
      </c>
      <c r="D2485" s="635"/>
      <c r="E2485" s="635" t="s">
        <v>1494</v>
      </c>
      <c r="F2485" s="465" t="s">
        <v>96</v>
      </c>
      <c r="G2485" s="466">
        <v>0</v>
      </c>
      <c r="H2485" s="466">
        <v>0.766</v>
      </c>
      <c r="I2485" s="467">
        <v>0.765</v>
      </c>
      <c r="J2485" s="468">
        <v>0.001</v>
      </c>
    </row>
    <row r="2486" spans="1:10" ht="12.75" outlineLevel="2">
      <c r="A2486" s="645">
        <v>2142178004</v>
      </c>
      <c r="B2486" s="635" t="s">
        <v>1219</v>
      </c>
      <c r="C2486" s="635" t="s">
        <v>1804</v>
      </c>
      <c r="D2486" s="635"/>
      <c r="E2486" s="635" t="s">
        <v>1494</v>
      </c>
      <c r="F2486" s="465" t="s">
        <v>96</v>
      </c>
      <c r="G2486" s="466">
        <v>0</v>
      </c>
      <c r="H2486" s="466">
        <v>3.347</v>
      </c>
      <c r="I2486" s="467">
        <v>3.347</v>
      </c>
      <c r="J2486" s="468">
        <v>0</v>
      </c>
    </row>
    <row r="2487" spans="1:10" ht="12.75" outlineLevel="2">
      <c r="A2487" s="645">
        <v>2142178005</v>
      </c>
      <c r="B2487" s="635" t="s">
        <v>1220</v>
      </c>
      <c r="C2487" s="635" t="s">
        <v>1784</v>
      </c>
      <c r="D2487" s="635"/>
      <c r="E2487" s="635" t="s">
        <v>1494</v>
      </c>
      <c r="F2487" s="465" t="s">
        <v>96</v>
      </c>
      <c r="G2487" s="466">
        <v>0</v>
      </c>
      <c r="H2487" s="466">
        <v>1.218</v>
      </c>
      <c r="I2487" s="467">
        <v>1.217</v>
      </c>
      <c r="J2487" s="468">
        <v>0.001</v>
      </c>
    </row>
    <row r="2488" spans="1:10" ht="12.75" outlineLevel="2">
      <c r="A2488" s="645">
        <v>2142178006</v>
      </c>
      <c r="B2488" s="635" t="s">
        <v>206</v>
      </c>
      <c r="C2488" s="635" t="s">
        <v>1784</v>
      </c>
      <c r="D2488" s="635"/>
      <c r="E2488" s="635" t="s">
        <v>1494</v>
      </c>
      <c r="F2488" s="465" t="s">
        <v>96</v>
      </c>
      <c r="G2488" s="466">
        <v>0</v>
      </c>
      <c r="H2488" s="466">
        <v>0.518</v>
      </c>
      <c r="I2488" s="467">
        <v>0.518</v>
      </c>
      <c r="J2488" s="468">
        <v>0</v>
      </c>
    </row>
    <row r="2489" spans="1:10" ht="12.75" outlineLevel="2">
      <c r="A2489" s="645">
        <v>2142178007</v>
      </c>
      <c r="B2489" s="635" t="s">
        <v>1221</v>
      </c>
      <c r="C2489" s="635" t="s">
        <v>1788</v>
      </c>
      <c r="D2489" s="635"/>
      <c r="E2489" s="635" t="s">
        <v>1494</v>
      </c>
      <c r="F2489" s="465" t="s">
        <v>96</v>
      </c>
      <c r="G2489" s="466">
        <v>0</v>
      </c>
      <c r="H2489" s="466">
        <v>1.18</v>
      </c>
      <c r="I2489" s="467">
        <v>1.179</v>
      </c>
      <c r="J2489" s="468">
        <v>0.001</v>
      </c>
    </row>
    <row r="2490" spans="1:10" ht="12.75" outlineLevel="2">
      <c r="A2490" s="645">
        <v>2142178008</v>
      </c>
      <c r="B2490" s="635" t="s">
        <v>1222</v>
      </c>
      <c r="C2490" s="635" t="s">
        <v>1784</v>
      </c>
      <c r="D2490" s="635"/>
      <c r="E2490" s="635" t="s">
        <v>1494</v>
      </c>
      <c r="F2490" s="465" t="s">
        <v>96</v>
      </c>
      <c r="G2490" s="466">
        <v>1</v>
      </c>
      <c r="H2490" s="466">
        <v>0.325</v>
      </c>
      <c r="I2490" s="467">
        <v>0.324</v>
      </c>
      <c r="J2490" s="468">
        <v>0.001</v>
      </c>
    </row>
    <row r="2491" spans="1:10" ht="12.75" outlineLevel="2">
      <c r="A2491" s="645">
        <v>2142178009</v>
      </c>
      <c r="B2491" s="635" t="s">
        <v>2263</v>
      </c>
      <c r="C2491" s="635" t="s">
        <v>1790</v>
      </c>
      <c r="D2491" s="635"/>
      <c r="E2491" s="635" t="s">
        <v>1494</v>
      </c>
      <c r="F2491" s="465" t="s">
        <v>333</v>
      </c>
      <c r="G2491" s="466">
        <v>0</v>
      </c>
      <c r="H2491" s="466">
        <v>0</v>
      </c>
      <c r="I2491" s="467">
        <v>0.042</v>
      </c>
      <c r="J2491" s="468">
        <v>0</v>
      </c>
    </row>
    <row r="2492" spans="1:10" ht="12.75" outlineLevel="2">
      <c r="A2492" s="645">
        <v>2142178010</v>
      </c>
      <c r="B2492" s="635" t="s">
        <v>2264</v>
      </c>
      <c r="C2492" s="635" t="s">
        <v>1806</v>
      </c>
      <c r="D2492" s="635"/>
      <c r="E2492" s="635" t="s">
        <v>1494</v>
      </c>
      <c r="F2492" s="465" t="s">
        <v>96</v>
      </c>
      <c r="G2492" s="466">
        <v>0</v>
      </c>
      <c r="H2492" s="466">
        <v>1.435</v>
      </c>
      <c r="I2492" s="467">
        <v>1.435</v>
      </c>
      <c r="J2492" s="468">
        <v>0</v>
      </c>
    </row>
    <row r="2493" spans="1:10" ht="12.75" outlineLevel="2">
      <c r="A2493" s="645">
        <v>2142178011</v>
      </c>
      <c r="B2493" s="635" t="s">
        <v>2265</v>
      </c>
      <c r="C2493" s="635" t="s">
        <v>1806</v>
      </c>
      <c r="D2493" s="635"/>
      <c r="E2493" s="635" t="s">
        <v>1494</v>
      </c>
      <c r="F2493" s="465" t="s">
        <v>96</v>
      </c>
      <c r="G2493" s="466">
        <v>0</v>
      </c>
      <c r="H2493" s="466">
        <v>1.052</v>
      </c>
      <c r="I2493" s="467">
        <v>1.052</v>
      </c>
      <c r="J2493" s="468">
        <v>0</v>
      </c>
    </row>
    <row r="2494" spans="1:10" ht="12.75" outlineLevel="2">
      <c r="A2494" s="645">
        <v>2142178012</v>
      </c>
      <c r="B2494" s="635" t="s">
        <v>184</v>
      </c>
      <c r="C2494" s="635" t="s">
        <v>1790</v>
      </c>
      <c r="D2494" s="635"/>
      <c r="E2494" s="635" t="s">
        <v>1494</v>
      </c>
      <c r="F2494" s="465" t="s">
        <v>96</v>
      </c>
      <c r="G2494" s="466">
        <v>0</v>
      </c>
      <c r="H2494" s="466">
        <v>1.288</v>
      </c>
      <c r="I2494" s="467">
        <v>1.287</v>
      </c>
      <c r="J2494" s="468">
        <v>0.001</v>
      </c>
    </row>
    <row r="2495" spans="1:10" ht="12.75" outlineLevel="2">
      <c r="A2495" s="645">
        <v>2142178013</v>
      </c>
      <c r="B2495" s="635" t="s">
        <v>2266</v>
      </c>
      <c r="C2495" s="635" t="s">
        <v>1806</v>
      </c>
      <c r="D2495" s="635"/>
      <c r="E2495" s="635" t="s">
        <v>1494</v>
      </c>
      <c r="F2495" s="465" t="s">
        <v>96</v>
      </c>
      <c r="G2495" s="466">
        <v>0</v>
      </c>
      <c r="H2495" s="466">
        <v>0.371</v>
      </c>
      <c r="I2495" s="467">
        <v>0.371</v>
      </c>
      <c r="J2495" s="468">
        <v>0</v>
      </c>
    </row>
    <row r="2496" spans="1:10" ht="12.75" outlineLevel="2">
      <c r="A2496" s="645">
        <v>2142178014</v>
      </c>
      <c r="B2496" s="635" t="s">
        <v>2267</v>
      </c>
      <c r="C2496" s="635" t="s">
        <v>1788</v>
      </c>
      <c r="D2496" s="635"/>
      <c r="E2496" s="635" t="s">
        <v>1494</v>
      </c>
      <c r="F2496" s="465" t="s">
        <v>96</v>
      </c>
      <c r="G2496" s="466">
        <v>0</v>
      </c>
      <c r="H2496" s="466">
        <v>0.492</v>
      </c>
      <c r="I2496" s="467">
        <v>0.492</v>
      </c>
      <c r="J2496" s="468">
        <v>0</v>
      </c>
    </row>
    <row r="2497" spans="1:10" ht="12.75" outlineLevel="2">
      <c r="A2497" s="645">
        <v>2142178015</v>
      </c>
      <c r="B2497" s="635" t="s">
        <v>2268</v>
      </c>
      <c r="C2497" s="635" t="s">
        <v>1806</v>
      </c>
      <c r="D2497" s="635"/>
      <c r="E2497" s="635" t="s">
        <v>1494</v>
      </c>
      <c r="F2497" s="465" t="s">
        <v>96</v>
      </c>
      <c r="G2497" s="466">
        <v>0</v>
      </c>
      <c r="H2497" s="466">
        <v>0.491</v>
      </c>
      <c r="I2497" s="467">
        <v>0.491</v>
      </c>
      <c r="J2497" s="468">
        <v>0</v>
      </c>
    </row>
    <row r="2498" spans="1:10" ht="12.75" outlineLevel="2">
      <c r="A2498" s="645">
        <v>2142178016</v>
      </c>
      <c r="B2498" s="635" t="s">
        <v>2269</v>
      </c>
      <c r="C2498" s="635" t="s">
        <v>1796</v>
      </c>
      <c r="D2498" s="635"/>
      <c r="E2498" s="635" t="s">
        <v>1494</v>
      </c>
      <c r="F2498" s="465" t="s">
        <v>96</v>
      </c>
      <c r="G2498" s="466">
        <v>0</v>
      </c>
      <c r="H2498" s="466">
        <v>1.851</v>
      </c>
      <c r="I2498" s="467">
        <v>1.85</v>
      </c>
      <c r="J2498" s="468">
        <v>0.001</v>
      </c>
    </row>
    <row r="2499" spans="1:10" ht="12.75" outlineLevel="2">
      <c r="A2499" s="645">
        <v>2142195030</v>
      </c>
      <c r="B2499" s="635" t="s">
        <v>2270</v>
      </c>
      <c r="C2499" s="635" t="s">
        <v>1788</v>
      </c>
      <c r="D2499" s="635"/>
      <c r="E2499" s="635" t="s">
        <v>1494</v>
      </c>
      <c r="F2499" s="465" t="s">
        <v>96</v>
      </c>
      <c r="G2499" s="466">
        <v>0</v>
      </c>
      <c r="H2499" s="466">
        <v>0.781</v>
      </c>
      <c r="I2499" s="467">
        <v>0.78</v>
      </c>
      <c r="J2499" s="468">
        <v>0.001</v>
      </c>
    </row>
    <row r="2500" spans="1:10" ht="12.75" outlineLevel="2">
      <c r="A2500" s="645">
        <v>2142197018</v>
      </c>
      <c r="B2500" s="635" t="s">
        <v>2271</v>
      </c>
      <c r="C2500" s="635" t="s">
        <v>1798</v>
      </c>
      <c r="D2500" s="635"/>
      <c r="E2500" s="635" t="s">
        <v>1533</v>
      </c>
      <c r="F2500" s="465" t="s">
        <v>96</v>
      </c>
      <c r="G2500" s="466">
        <v>0.05</v>
      </c>
      <c r="H2500" s="466">
        <v>0</v>
      </c>
      <c r="I2500" s="467">
        <v>0</v>
      </c>
      <c r="J2500" s="468">
        <v>0</v>
      </c>
    </row>
    <row r="2501" spans="1:10" ht="12.75" outlineLevel="2">
      <c r="A2501" s="645">
        <v>2142197019</v>
      </c>
      <c r="B2501" s="635" t="s">
        <v>2272</v>
      </c>
      <c r="C2501" s="635" t="s">
        <v>1784</v>
      </c>
      <c r="D2501" s="635"/>
      <c r="E2501" s="635" t="s">
        <v>1494</v>
      </c>
      <c r="F2501" s="465" t="s">
        <v>96</v>
      </c>
      <c r="G2501" s="466">
        <v>2.393</v>
      </c>
      <c r="H2501" s="466">
        <v>4.405</v>
      </c>
      <c r="I2501" s="467">
        <v>4.404</v>
      </c>
      <c r="J2501" s="468">
        <v>0.001</v>
      </c>
    </row>
    <row r="2502" spans="1:10" ht="12.75" outlineLevel="2">
      <c r="A2502" s="645">
        <v>2142198001</v>
      </c>
      <c r="B2502" s="635" t="s">
        <v>2273</v>
      </c>
      <c r="C2502" s="635" t="s">
        <v>1802</v>
      </c>
      <c r="D2502" s="635"/>
      <c r="E2502" s="635" t="s">
        <v>1533</v>
      </c>
      <c r="F2502" s="465" t="s">
        <v>96</v>
      </c>
      <c r="G2502" s="466">
        <v>0.2</v>
      </c>
      <c r="H2502" s="466">
        <v>0</v>
      </c>
      <c r="I2502" s="467">
        <v>0</v>
      </c>
      <c r="J2502" s="468">
        <v>0</v>
      </c>
    </row>
    <row r="2503" spans="1:10" ht="12.75" outlineLevel="2">
      <c r="A2503" s="645">
        <v>2142198002</v>
      </c>
      <c r="B2503" s="635" t="s">
        <v>2274</v>
      </c>
      <c r="C2503" s="635" t="s">
        <v>1802</v>
      </c>
      <c r="D2503" s="635"/>
      <c r="E2503" s="635" t="s">
        <v>1494</v>
      </c>
      <c r="F2503" s="465" t="s">
        <v>1845</v>
      </c>
      <c r="G2503" s="466">
        <v>0</v>
      </c>
      <c r="H2503" s="466">
        <v>0.05</v>
      </c>
      <c r="I2503" s="467">
        <v>0.05</v>
      </c>
      <c r="J2503" s="468">
        <v>0</v>
      </c>
    </row>
    <row r="2504" spans="1:10" ht="12.75" outlineLevel="2">
      <c r="A2504" s="645">
        <v>2142198002</v>
      </c>
      <c r="B2504" s="635" t="s">
        <v>2274</v>
      </c>
      <c r="C2504" s="635" t="s">
        <v>1802</v>
      </c>
      <c r="D2504" s="635"/>
      <c r="E2504" s="635" t="s">
        <v>1494</v>
      </c>
      <c r="F2504" s="465" t="s">
        <v>96</v>
      </c>
      <c r="G2504" s="466">
        <v>0.1</v>
      </c>
      <c r="H2504" s="466">
        <v>0</v>
      </c>
      <c r="I2504" s="467">
        <v>0</v>
      </c>
      <c r="J2504" s="468">
        <v>0</v>
      </c>
    </row>
    <row r="2505" spans="1:10" ht="12.75" outlineLevel="2">
      <c r="A2505" s="645">
        <v>2142198003</v>
      </c>
      <c r="B2505" s="635" t="s">
        <v>2275</v>
      </c>
      <c r="C2505" s="635" t="s">
        <v>1802</v>
      </c>
      <c r="D2505" s="635"/>
      <c r="E2505" s="635" t="s">
        <v>1533</v>
      </c>
      <c r="F2505" s="465" t="s">
        <v>96</v>
      </c>
      <c r="G2505" s="466">
        <v>0.2</v>
      </c>
      <c r="H2505" s="466">
        <v>0</v>
      </c>
      <c r="I2505" s="467">
        <v>0</v>
      </c>
      <c r="J2505" s="468">
        <v>0</v>
      </c>
    </row>
    <row r="2506" spans="1:10" ht="12.75" outlineLevel="2">
      <c r="A2506" s="645">
        <v>2142198004</v>
      </c>
      <c r="B2506" s="635" t="s">
        <v>2276</v>
      </c>
      <c r="C2506" s="635" t="s">
        <v>1794</v>
      </c>
      <c r="D2506" s="635"/>
      <c r="E2506" s="635" t="s">
        <v>1494</v>
      </c>
      <c r="F2506" s="465" t="s">
        <v>1845</v>
      </c>
      <c r="G2506" s="466">
        <v>0</v>
      </c>
      <c r="H2506" s="466">
        <v>0.096</v>
      </c>
      <c r="I2506" s="467">
        <v>0.095</v>
      </c>
      <c r="J2506" s="468">
        <v>0.001</v>
      </c>
    </row>
    <row r="2507" spans="1:10" ht="12.75" outlineLevel="2">
      <c r="A2507" s="645">
        <v>2142198005</v>
      </c>
      <c r="B2507" s="635" t="s">
        <v>2277</v>
      </c>
      <c r="C2507" s="635" t="s">
        <v>1777</v>
      </c>
      <c r="D2507" s="635"/>
      <c r="E2507" s="635" t="s">
        <v>1494</v>
      </c>
      <c r="F2507" s="465" t="s">
        <v>96</v>
      </c>
      <c r="G2507" s="466">
        <v>0</v>
      </c>
      <c r="H2507" s="466">
        <v>1.15</v>
      </c>
      <c r="I2507" s="467">
        <v>1.15</v>
      </c>
      <c r="J2507" s="468">
        <v>0</v>
      </c>
    </row>
    <row r="2508" spans="1:10" ht="12.75" outlineLevel="2">
      <c r="A2508" s="645">
        <v>2142198006</v>
      </c>
      <c r="B2508" s="635" t="s">
        <v>2278</v>
      </c>
      <c r="C2508" s="635" t="s">
        <v>1777</v>
      </c>
      <c r="D2508" s="635"/>
      <c r="E2508" s="635" t="s">
        <v>1494</v>
      </c>
      <c r="F2508" s="465" t="s">
        <v>96</v>
      </c>
      <c r="G2508" s="466">
        <v>0</v>
      </c>
      <c r="H2508" s="466">
        <v>0.636</v>
      </c>
      <c r="I2508" s="467">
        <v>0.636</v>
      </c>
      <c r="J2508" s="468">
        <v>0</v>
      </c>
    </row>
    <row r="2509" spans="1:10" ht="13.5" outlineLevel="2" thickBot="1">
      <c r="A2509" s="646">
        <v>2142198007</v>
      </c>
      <c r="B2509" s="636" t="s">
        <v>2279</v>
      </c>
      <c r="C2509" s="636" t="s">
        <v>1777</v>
      </c>
      <c r="D2509" s="636"/>
      <c r="E2509" s="636" t="s">
        <v>1494</v>
      </c>
      <c r="F2509" s="469" t="s">
        <v>1845</v>
      </c>
      <c r="G2509" s="470">
        <v>0</v>
      </c>
      <c r="H2509" s="470">
        <v>0.089</v>
      </c>
      <c r="I2509" s="471">
        <v>0.088</v>
      </c>
      <c r="J2509" s="472">
        <v>0.001</v>
      </c>
    </row>
    <row r="2510" spans="1:10" s="149" customFormat="1" ht="13.5" outlineLevel="1" thickBot="1">
      <c r="A2510" s="648" t="s">
        <v>2280</v>
      </c>
      <c r="B2510" s="637"/>
      <c r="C2510" s="637"/>
      <c r="D2510" s="637"/>
      <c r="E2510" s="637"/>
      <c r="F2510" s="458"/>
      <c r="G2510" s="459">
        <f>SUBTOTAL(9,G1545:G2509)</f>
        <v>1390.7020000000007</v>
      </c>
      <c r="H2510" s="459">
        <f>SUBTOTAL(9,H1545:H2509)</f>
        <v>1581.2499999999998</v>
      </c>
      <c r="I2510" s="473">
        <f>SUBTOTAL(9,I1545:I2509)</f>
        <v>1614.3520000000005</v>
      </c>
      <c r="J2510" s="474">
        <f>SUBTOTAL(9,J1545:J2509)</f>
        <v>8.826999999999972</v>
      </c>
    </row>
    <row r="2511" spans="1:10" ht="12.75" outlineLevel="2">
      <c r="A2511" s="644">
        <v>2145115006</v>
      </c>
      <c r="B2511" s="634" t="s">
        <v>2281</v>
      </c>
      <c r="C2511" s="634" t="s">
        <v>1774</v>
      </c>
      <c r="D2511" s="634"/>
      <c r="E2511" s="634" t="s">
        <v>1494</v>
      </c>
      <c r="F2511" s="461" t="s">
        <v>1845</v>
      </c>
      <c r="G2511" s="462">
        <v>0</v>
      </c>
      <c r="H2511" s="462">
        <v>0.625</v>
      </c>
      <c r="I2511" s="463">
        <v>0.624</v>
      </c>
      <c r="J2511" s="464">
        <v>0.001</v>
      </c>
    </row>
    <row r="2512" spans="1:10" ht="12.75" outlineLevel="2">
      <c r="A2512" s="645">
        <v>2145115006</v>
      </c>
      <c r="B2512" s="635" t="s">
        <v>2281</v>
      </c>
      <c r="C2512" s="635" t="s">
        <v>1774</v>
      </c>
      <c r="D2512" s="635"/>
      <c r="E2512" s="635" t="s">
        <v>1494</v>
      </c>
      <c r="F2512" s="465" t="s">
        <v>96</v>
      </c>
      <c r="G2512" s="466">
        <v>0</v>
      </c>
      <c r="H2512" s="466">
        <v>5.31</v>
      </c>
      <c r="I2512" s="467">
        <v>5.308</v>
      </c>
      <c r="J2512" s="468">
        <v>0.002</v>
      </c>
    </row>
    <row r="2513" spans="1:10" ht="12.75" outlineLevel="2">
      <c r="A2513" s="645">
        <v>2145116001</v>
      </c>
      <c r="B2513" s="635" t="s">
        <v>2282</v>
      </c>
      <c r="C2513" s="635" t="s">
        <v>1774</v>
      </c>
      <c r="D2513" s="635"/>
      <c r="E2513" s="635" t="s">
        <v>1494</v>
      </c>
      <c r="F2513" s="465" t="s">
        <v>96</v>
      </c>
      <c r="G2513" s="466">
        <v>34.3</v>
      </c>
      <c r="H2513" s="466">
        <v>26.965</v>
      </c>
      <c r="I2513" s="467">
        <v>26.894</v>
      </c>
      <c r="J2513" s="468">
        <v>0.071</v>
      </c>
    </row>
    <row r="2514" spans="1:10" ht="12.75" outlineLevel="2">
      <c r="A2514" s="645">
        <v>2145116002</v>
      </c>
      <c r="B2514" s="635" t="s">
        <v>2283</v>
      </c>
      <c r="C2514" s="635" t="s">
        <v>1774</v>
      </c>
      <c r="D2514" s="635"/>
      <c r="E2514" s="635" t="s">
        <v>1494</v>
      </c>
      <c r="F2514" s="465" t="s">
        <v>1845</v>
      </c>
      <c r="G2514" s="466">
        <v>0</v>
      </c>
      <c r="H2514" s="466">
        <v>0.094</v>
      </c>
      <c r="I2514" s="467">
        <v>0.078</v>
      </c>
      <c r="J2514" s="468">
        <v>0.016</v>
      </c>
    </row>
    <row r="2515" spans="1:10" ht="12.75" outlineLevel="2">
      <c r="A2515" s="645">
        <v>2145116002</v>
      </c>
      <c r="B2515" s="635" t="s">
        <v>2283</v>
      </c>
      <c r="C2515" s="635" t="s">
        <v>1774</v>
      </c>
      <c r="D2515" s="635"/>
      <c r="E2515" s="635" t="s">
        <v>1494</v>
      </c>
      <c r="F2515" s="465" t="s">
        <v>96</v>
      </c>
      <c r="G2515" s="466">
        <v>0</v>
      </c>
      <c r="H2515" s="466">
        <v>1.306</v>
      </c>
      <c r="I2515" s="467">
        <v>1.306</v>
      </c>
      <c r="J2515" s="468">
        <v>0</v>
      </c>
    </row>
    <row r="2516" spans="1:10" ht="12.75" outlineLevel="2">
      <c r="A2516" s="645">
        <v>2145116003</v>
      </c>
      <c r="B2516" s="635" t="s">
        <v>2284</v>
      </c>
      <c r="C2516" s="635" t="s">
        <v>1774</v>
      </c>
      <c r="D2516" s="635"/>
      <c r="E2516" s="635" t="s">
        <v>1494</v>
      </c>
      <c r="F2516" s="465" t="s">
        <v>1845</v>
      </c>
      <c r="G2516" s="466">
        <v>0.3</v>
      </c>
      <c r="H2516" s="466">
        <v>0.446</v>
      </c>
      <c r="I2516" s="467">
        <v>0.444</v>
      </c>
      <c r="J2516" s="468">
        <v>0.002</v>
      </c>
    </row>
    <row r="2517" spans="1:10" ht="12.75" outlineLevel="2">
      <c r="A2517" s="645">
        <v>2145116003</v>
      </c>
      <c r="B2517" s="635" t="s">
        <v>2284</v>
      </c>
      <c r="C2517" s="635" t="s">
        <v>1774</v>
      </c>
      <c r="D2517" s="635"/>
      <c r="E2517" s="635" t="s">
        <v>1494</v>
      </c>
      <c r="F2517" s="465" t="s">
        <v>96</v>
      </c>
      <c r="G2517" s="466">
        <v>0.3</v>
      </c>
      <c r="H2517" s="466">
        <v>0.154</v>
      </c>
      <c r="I2517" s="467">
        <v>0.053</v>
      </c>
      <c r="J2517" s="468">
        <v>0.101</v>
      </c>
    </row>
    <row r="2518" spans="1:10" ht="13.5" outlineLevel="2" thickBot="1">
      <c r="A2518" s="646">
        <v>2145116004</v>
      </c>
      <c r="B2518" s="636" t="s">
        <v>2285</v>
      </c>
      <c r="C2518" s="636" t="s">
        <v>1774</v>
      </c>
      <c r="D2518" s="636"/>
      <c r="E2518" s="636" t="s">
        <v>1494</v>
      </c>
      <c r="F2518" s="469" t="s">
        <v>1845</v>
      </c>
      <c r="G2518" s="470">
        <v>1.3</v>
      </c>
      <c r="H2518" s="470">
        <v>1.3</v>
      </c>
      <c r="I2518" s="471">
        <v>1.298</v>
      </c>
      <c r="J2518" s="472">
        <v>0.002</v>
      </c>
    </row>
    <row r="2519" spans="1:10" s="149" customFormat="1" ht="13.5" outlineLevel="1" thickBot="1">
      <c r="A2519" s="648" t="s">
        <v>2286</v>
      </c>
      <c r="B2519" s="637"/>
      <c r="C2519" s="637"/>
      <c r="D2519" s="637"/>
      <c r="E2519" s="637"/>
      <c r="F2519" s="458"/>
      <c r="G2519" s="459">
        <f>SUBTOTAL(9,G2511:G2518)</f>
        <v>36.19999999999999</v>
      </c>
      <c r="H2519" s="459">
        <f>SUBTOTAL(9,H2511:H2518)</f>
        <v>36.199999999999996</v>
      </c>
      <c r="I2519" s="473">
        <f>SUBTOTAL(9,I2511:I2518)</f>
        <v>36.005</v>
      </c>
      <c r="J2519" s="474">
        <f>SUBTOTAL(9,J2511:J2518)</f>
        <v>0.195</v>
      </c>
    </row>
    <row r="2520" spans="1:10" ht="12.75" outlineLevel="2">
      <c r="A2520" s="644">
        <v>2149116011</v>
      </c>
      <c r="B2520" s="634" t="s">
        <v>2287</v>
      </c>
      <c r="C2520" s="634" t="s">
        <v>1774</v>
      </c>
      <c r="D2520" s="634"/>
      <c r="E2520" s="634" t="s">
        <v>1494</v>
      </c>
      <c r="F2520" s="461" t="s">
        <v>1845</v>
      </c>
      <c r="G2520" s="462">
        <v>0.262</v>
      </c>
      <c r="H2520" s="462">
        <v>0.262</v>
      </c>
      <c r="I2520" s="463">
        <v>0.261</v>
      </c>
      <c r="J2520" s="464">
        <v>0.001</v>
      </c>
    </row>
    <row r="2521" spans="1:10" ht="12.75" outlineLevel="2">
      <c r="A2521" s="645">
        <v>2149116017</v>
      </c>
      <c r="B2521" s="635" t="s">
        <v>2288</v>
      </c>
      <c r="C2521" s="635" t="s">
        <v>1774</v>
      </c>
      <c r="D2521" s="635"/>
      <c r="E2521" s="635" t="s">
        <v>1494</v>
      </c>
      <c r="F2521" s="465" t="s">
        <v>1845</v>
      </c>
      <c r="G2521" s="466">
        <v>5.122</v>
      </c>
      <c r="H2521" s="466">
        <v>5.122</v>
      </c>
      <c r="I2521" s="467">
        <v>5.098</v>
      </c>
      <c r="J2521" s="468">
        <v>0.024</v>
      </c>
    </row>
    <row r="2522" spans="1:10" ht="12.75" outlineLevel="2">
      <c r="A2522" s="645">
        <v>2149116019</v>
      </c>
      <c r="B2522" s="635" t="s">
        <v>2289</v>
      </c>
      <c r="C2522" s="635" t="s">
        <v>1774</v>
      </c>
      <c r="D2522" s="635"/>
      <c r="E2522" s="635" t="s">
        <v>1494</v>
      </c>
      <c r="F2522" s="465" t="s">
        <v>1845</v>
      </c>
      <c r="G2522" s="466">
        <v>0.372</v>
      </c>
      <c r="H2522" s="466">
        <v>0.372</v>
      </c>
      <c r="I2522" s="467">
        <v>0.371</v>
      </c>
      <c r="J2522" s="468">
        <v>0.001</v>
      </c>
    </row>
    <row r="2523" spans="1:10" ht="12.75" outlineLevel="2">
      <c r="A2523" s="645">
        <v>2149117001</v>
      </c>
      <c r="B2523" s="635" t="s">
        <v>1421</v>
      </c>
      <c r="C2523" s="635" t="s">
        <v>1774</v>
      </c>
      <c r="D2523" s="635"/>
      <c r="E2523" s="635" t="s">
        <v>1494</v>
      </c>
      <c r="F2523" s="465" t="s">
        <v>1845</v>
      </c>
      <c r="G2523" s="466">
        <v>242.1</v>
      </c>
      <c r="H2523" s="466">
        <v>243.691</v>
      </c>
      <c r="I2523" s="467">
        <v>242.155</v>
      </c>
      <c r="J2523" s="468">
        <v>1.536</v>
      </c>
    </row>
    <row r="2524" spans="1:10" ht="12.75" outlineLevel="2">
      <c r="A2524" s="645">
        <v>2149117002</v>
      </c>
      <c r="B2524" s="635" t="s">
        <v>2290</v>
      </c>
      <c r="C2524" s="635" t="s">
        <v>1774</v>
      </c>
      <c r="D2524" s="635"/>
      <c r="E2524" s="635" t="s">
        <v>1494</v>
      </c>
      <c r="F2524" s="465" t="s">
        <v>1845</v>
      </c>
      <c r="G2524" s="466">
        <v>9.6</v>
      </c>
      <c r="H2524" s="466">
        <v>9.6</v>
      </c>
      <c r="I2524" s="467">
        <v>9.6</v>
      </c>
      <c r="J2524" s="468">
        <v>0</v>
      </c>
    </row>
    <row r="2525" spans="1:10" ht="12.75" outlineLevel="2">
      <c r="A2525" s="645">
        <v>2149117003</v>
      </c>
      <c r="B2525" s="635" t="s">
        <v>2291</v>
      </c>
      <c r="C2525" s="635" t="s">
        <v>1774</v>
      </c>
      <c r="D2525" s="635"/>
      <c r="E2525" s="635" t="s">
        <v>1494</v>
      </c>
      <c r="F2525" s="465" t="s">
        <v>1845</v>
      </c>
      <c r="G2525" s="466">
        <v>6.494</v>
      </c>
      <c r="H2525" s="466">
        <v>6.494</v>
      </c>
      <c r="I2525" s="467">
        <v>6.493</v>
      </c>
      <c r="J2525" s="468">
        <v>0.001</v>
      </c>
    </row>
    <row r="2526" spans="1:10" ht="12.75" outlineLevel="2">
      <c r="A2526" s="645">
        <v>2149117004</v>
      </c>
      <c r="B2526" s="635" t="s">
        <v>2292</v>
      </c>
      <c r="C2526" s="635" t="s">
        <v>1774</v>
      </c>
      <c r="D2526" s="635"/>
      <c r="E2526" s="635" t="s">
        <v>1494</v>
      </c>
      <c r="F2526" s="465" t="s">
        <v>1845</v>
      </c>
      <c r="G2526" s="466">
        <v>10.9</v>
      </c>
      <c r="H2526" s="466">
        <v>6.727</v>
      </c>
      <c r="I2526" s="467">
        <v>6.725</v>
      </c>
      <c r="J2526" s="468">
        <v>0.002</v>
      </c>
    </row>
    <row r="2527" spans="1:10" ht="12.75" outlineLevel="2">
      <c r="A2527" s="645">
        <v>2149117005</v>
      </c>
      <c r="B2527" s="635" t="s">
        <v>2293</v>
      </c>
      <c r="C2527" s="635" t="s">
        <v>1774</v>
      </c>
      <c r="D2527" s="635"/>
      <c r="E2527" s="635" t="s">
        <v>1494</v>
      </c>
      <c r="F2527" s="465" t="s">
        <v>1845</v>
      </c>
      <c r="G2527" s="466">
        <v>6.215</v>
      </c>
      <c r="H2527" s="466">
        <v>6.189</v>
      </c>
      <c r="I2527" s="467">
        <v>6.188</v>
      </c>
      <c r="J2527" s="468">
        <v>0.001</v>
      </c>
    </row>
    <row r="2528" spans="1:10" ht="12.75" outlineLevel="2">
      <c r="A2528" s="645">
        <v>2149117006</v>
      </c>
      <c r="B2528" s="635" t="s">
        <v>2294</v>
      </c>
      <c r="C2528" s="635" t="s">
        <v>1774</v>
      </c>
      <c r="D2528" s="635"/>
      <c r="E2528" s="635" t="s">
        <v>1494</v>
      </c>
      <c r="F2528" s="465" t="s">
        <v>332</v>
      </c>
      <c r="G2528" s="466">
        <v>0</v>
      </c>
      <c r="H2528" s="466">
        <v>0</v>
      </c>
      <c r="I2528" s="467">
        <v>2.526</v>
      </c>
      <c r="J2528" s="468">
        <v>0</v>
      </c>
    </row>
    <row r="2529" spans="1:10" ht="12.75" outlineLevel="2">
      <c r="A2529" s="645">
        <v>2149117019</v>
      </c>
      <c r="B2529" s="635" t="s">
        <v>2295</v>
      </c>
      <c r="C2529" s="635" t="s">
        <v>1774</v>
      </c>
      <c r="D2529" s="635"/>
      <c r="E2529" s="635" t="s">
        <v>1494</v>
      </c>
      <c r="F2529" s="465" t="s">
        <v>1845</v>
      </c>
      <c r="G2529" s="466">
        <v>0.252</v>
      </c>
      <c r="H2529" s="466">
        <v>0.021</v>
      </c>
      <c r="I2529" s="467">
        <v>0.021</v>
      </c>
      <c r="J2529" s="468">
        <v>0</v>
      </c>
    </row>
    <row r="2530" spans="1:10" ht="12.75" outlineLevel="2">
      <c r="A2530" s="645">
        <v>2149117025</v>
      </c>
      <c r="B2530" s="635" t="s">
        <v>704</v>
      </c>
      <c r="C2530" s="635" t="s">
        <v>1774</v>
      </c>
      <c r="D2530" s="635"/>
      <c r="E2530" s="635" t="s">
        <v>1494</v>
      </c>
      <c r="F2530" s="465" t="s">
        <v>1845</v>
      </c>
      <c r="G2530" s="466">
        <v>0</v>
      </c>
      <c r="H2530" s="466">
        <v>9.631</v>
      </c>
      <c r="I2530" s="467">
        <v>9.631</v>
      </c>
      <c r="J2530" s="468">
        <v>0</v>
      </c>
    </row>
    <row r="2531" spans="1:10" ht="12.75" outlineLevel="2">
      <c r="A2531" s="645">
        <v>2149117028</v>
      </c>
      <c r="B2531" s="635" t="s">
        <v>705</v>
      </c>
      <c r="C2531" s="635" t="s">
        <v>1774</v>
      </c>
      <c r="D2531" s="635"/>
      <c r="E2531" s="635" t="s">
        <v>1494</v>
      </c>
      <c r="F2531" s="465" t="s">
        <v>1845</v>
      </c>
      <c r="G2531" s="466">
        <v>0</v>
      </c>
      <c r="H2531" s="466">
        <v>0.169</v>
      </c>
      <c r="I2531" s="467">
        <v>0.168</v>
      </c>
      <c r="J2531" s="468">
        <v>0.001</v>
      </c>
    </row>
    <row r="2532" spans="1:10" ht="12.75" outlineLevel="2">
      <c r="A2532" s="645">
        <v>2149117028</v>
      </c>
      <c r="B2532" s="635" t="s">
        <v>705</v>
      </c>
      <c r="C2532" s="635" t="s">
        <v>1774</v>
      </c>
      <c r="D2532" s="635"/>
      <c r="E2532" s="635" t="s">
        <v>1494</v>
      </c>
      <c r="F2532" s="465" t="s">
        <v>96</v>
      </c>
      <c r="G2532" s="466">
        <v>0</v>
      </c>
      <c r="H2532" s="466">
        <v>1.814</v>
      </c>
      <c r="I2532" s="467">
        <v>1.811</v>
      </c>
      <c r="J2532" s="468">
        <v>0.003</v>
      </c>
    </row>
    <row r="2533" spans="1:10" ht="12.75" outlineLevel="2">
      <c r="A2533" s="645">
        <v>2149118001</v>
      </c>
      <c r="B2533" s="635" t="s">
        <v>706</v>
      </c>
      <c r="C2533" s="635" t="s">
        <v>1774</v>
      </c>
      <c r="D2533" s="635"/>
      <c r="E2533" s="635" t="s">
        <v>1494</v>
      </c>
      <c r="F2533" s="465" t="s">
        <v>1845</v>
      </c>
      <c r="G2533" s="466">
        <v>3.8</v>
      </c>
      <c r="H2533" s="466">
        <v>2.278</v>
      </c>
      <c r="I2533" s="467">
        <v>2.278</v>
      </c>
      <c r="J2533" s="468">
        <v>0</v>
      </c>
    </row>
    <row r="2534" spans="1:10" ht="12.75" outlineLevel="2">
      <c r="A2534" s="645">
        <v>2149118002</v>
      </c>
      <c r="B2534" s="635" t="s">
        <v>707</v>
      </c>
      <c r="C2534" s="635" t="s">
        <v>1774</v>
      </c>
      <c r="D2534" s="635"/>
      <c r="E2534" s="635" t="s">
        <v>1494</v>
      </c>
      <c r="F2534" s="465" t="s">
        <v>1845</v>
      </c>
      <c r="G2534" s="466">
        <v>9</v>
      </c>
      <c r="H2534" s="466">
        <v>9</v>
      </c>
      <c r="I2534" s="467">
        <v>9</v>
      </c>
      <c r="J2534" s="468">
        <v>0</v>
      </c>
    </row>
    <row r="2535" spans="1:10" ht="12.75" outlineLevel="2">
      <c r="A2535" s="645">
        <v>2149118003</v>
      </c>
      <c r="B2535" s="635" t="s">
        <v>708</v>
      </c>
      <c r="C2535" s="635" t="s">
        <v>1774</v>
      </c>
      <c r="D2535" s="635"/>
      <c r="E2535" s="635" t="s">
        <v>1494</v>
      </c>
      <c r="F2535" s="465" t="s">
        <v>1845</v>
      </c>
      <c r="G2535" s="466">
        <v>2.13</v>
      </c>
      <c r="H2535" s="466">
        <v>2.561</v>
      </c>
      <c r="I2535" s="467">
        <v>1.055</v>
      </c>
      <c r="J2535" s="468">
        <v>1.506</v>
      </c>
    </row>
    <row r="2536" spans="1:10" ht="12.75" outlineLevel="2">
      <c r="A2536" s="645">
        <v>2149118004</v>
      </c>
      <c r="B2536" s="635" t="s">
        <v>709</v>
      </c>
      <c r="C2536" s="635" t="s">
        <v>1774</v>
      </c>
      <c r="D2536" s="635"/>
      <c r="E2536" s="635" t="s">
        <v>1494</v>
      </c>
      <c r="F2536" s="465" t="s">
        <v>1845</v>
      </c>
      <c r="G2536" s="466">
        <v>6</v>
      </c>
      <c r="H2536" s="466">
        <v>6.522</v>
      </c>
      <c r="I2536" s="467">
        <v>6.519</v>
      </c>
      <c r="J2536" s="468">
        <v>0.003</v>
      </c>
    </row>
    <row r="2537" spans="1:10" ht="12.75" outlineLevel="2">
      <c r="A2537" s="645">
        <v>2149118005</v>
      </c>
      <c r="B2537" s="635" t="s">
        <v>710</v>
      </c>
      <c r="C2537" s="635" t="s">
        <v>1774</v>
      </c>
      <c r="D2537" s="635"/>
      <c r="E2537" s="635" t="s">
        <v>1494</v>
      </c>
      <c r="F2537" s="465" t="s">
        <v>1845</v>
      </c>
      <c r="G2537" s="466">
        <v>0.424</v>
      </c>
      <c r="H2537" s="466">
        <v>0.424</v>
      </c>
      <c r="I2537" s="467">
        <v>0.383</v>
      </c>
      <c r="J2537" s="468">
        <v>0.041</v>
      </c>
    </row>
    <row r="2538" spans="1:10" ht="12.75" outlineLevel="2">
      <c r="A2538" s="645">
        <v>2149118007</v>
      </c>
      <c r="B2538" s="635" t="s">
        <v>711</v>
      </c>
      <c r="C2538" s="635" t="s">
        <v>1774</v>
      </c>
      <c r="D2538" s="635"/>
      <c r="E2538" s="635" t="s">
        <v>1533</v>
      </c>
      <c r="F2538" s="465" t="s">
        <v>1845</v>
      </c>
      <c r="G2538" s="466">
        <v>0.3</v>
      </c>
      <c r="H2538" s="466">
        <v>0</v>
      </c>
      <c r="I2538" s="467">
        <v>0</v>
      </c>
      <c r="J2538" s="468">
        <v>0</v>
      </c>
    </row>
    <row r="2539" spans="1:10" ht="12.75" outlineLevel="2">
      <c r="A2539" s="645">
        <v>2149118008</v>
      </c>
      <c r="B2539" s="635" t="s">
        <v>712</v>
      </c>
      <c r="C2539" s="635" t="s">
        <v>1774</v>
      </c>
      <c r="D2539" s="635"/>
      <c r="E2539" s="635" t="s">
        <v>1494</v>
      </c>
      <c r="F2539" s="465" t="s">
        <v>1845</v>
      </c>
      <c r="G2539" s="466">
        <v>1.3</v>
      </c>
      <c r="H2539" s="466">
        <v>0.4</v>
      </c>
      <c r="I2539" s="467">
        <v>0.4</v>
      </c>
      <c r="J2539" s="468">
        <v>0</v>
      </c>
    </row>
    <row r="2540" spans="1:10" ht="12.75" outlineLevel="2">
      <c r="A2540" s="645">
        <v>2149118009</v>
      </c>
      <c r="B2540" s="635" t="s">
        <v>713</v>
      </c>
      <c r="C2540" s="635" t="s">
        <v>1774</v>
      </c>
      <c r="D2540" s="635"/>
      <c r="E2540" s="635" t="s">
        <v>1494</v>
      </c>
      <c r="F2540" s="465" t="s">
        <v>1845</v>
      </c>
      <c r="G2540" s="466">
        <v>0</v>
      </c>
      <c r="H2540" s="466">
        <v>0.069</v>
      </c>
      <c r="I2540" s="467">
        <v>0.068</v>
      </c>
      <c r="J2540" s="468">
        <v>0.001</v>
      </c>
    </row>
    <row r="2541" spans="1:10" ht="12.75" outlineLevel="2">
      <c r="A2541" s="645">
        <v>2149118009</v>
      </c>
      <c r="B2541" s="635" t="s">
        <v>713</v>
      </c>
      <c r="C2541" s="635" t="s">
        <v>1774</v>
      </c>
      <c r="D2541" s="635"/>
      <c r="E2541" s="635" t="s">
        <v>1494</v>
      </c>
      <c r="F2541" s="465" t="s">
        <v>96</v>
      </c>
      <c r="G2541" s="466">
        <v>56.5</v>
      </c>
      <c r="H2541" s="466">
        <v>56.431</v>
      </c>
      <c r="I2541" s="467">
        <v>51.479</v>
      </c>
      <c r="J2541" s="468">
        <v>4.952</v>
      </c>
    </row>
    <row r="2542" spans="1:10" ht="12.75" outlineLevel="2">
      <c r="A2542" s="645">
        <v>2149118010</v>
      </c>
      <c r="B2542" s="635" t="s">
        <v>714</v>
      </c>
      <c r="C2542" s="635" t="s">
        <v>1774</v>
      </c>
      <c r="D2542" s="635"/>
      <c r="E2542" s="635" t="s">
        <v>1494</v>
      </c>
      <c r="F2542" s="465" t="s">
        <v>1845</v>
      </c>
      <c r="G2542" s="466">
        <v>0</v>
      </c>
      <c r="H2542" s="466">
        <v>0.662</v>
      </c>
      <c r="I2542" s="467">
        <v>0.661</v>
      </c>
      <c r="J2542" s="468">
        <v>0.001</v>
      </c>
    </row>
    <row r="2543" spans="1:10" ht="12.75" outlineLevel="2">
      <c r="A2543" s="645">
        <v>2149118010</v>
      </c>
      <c r="B2543" s="635" t="s">
        <v>714</v>
      </c>
      <c r="C2543" s="635" t="s">
        <v>1774</v>
      </c>
      <c r="D2543" s="635"/>
      <c r="E2543" s="635" t="s">
        <v>1494</v>
      </c>
      <c r="F2543" s="465" t="s">
        <v>96</v>
      </c>
      <c r="G2543" s="466">
        <v>8.8</v>
      </c>
      <c r="H2543" s="466">
        <v>7.154</v>
      </c>
      <c r="I2543" s="467">
        <v>7.051</v>
      </c>
      <c r="J2543" s="468">
        <v>0.103</v>
      </c>
    </row>
    <row r="2544" spans="1:10" ht="12.75" outlineLevel="2">
      <c r="A2544" s="645">
        <v>2149118010</v>
      </c>
      <c r="B2544" s="635" t="s">
        <v>714</v>
      </c>
      <c r="C2544" s="635" t="s">
        <v>1774</v>
      </c>
      <c r="D2544" s="635"/>
      <c r="E2544" s="635" t="s">
        <v>1494</v>
      </c>
      <c r="F2544" s="465" t="s">
        <v>333</v>
      </c>
      <c r="G2544" s="466">
        <v>0</v>
      </c>
      <c r="H2544" s="466">
        <v>0</v>
      </c>
      <c r="I2544" s="467">
        <v>1.983</v>
      </c>
      <c r="J2544" s="468">
        <v>0</v>
      </c>
    </row>
    <row r="2545" spans="1:10" ht="12.75" outlineLevel="2">
      <c r="A2545" s="645">
        <v>2149118011</v>
      </c>
      <c r="B2545" s="635" t="s">
        <v>715</v>
      </c>
      <c r="C2545" s="635" t="s">
        <v>1774</v>
      </c>
      <c r="D2545" s="635"/>
      <c r="E2545" s="635" t="s">
        <v>1494</v>
      </c>
      <c r="F2545" s="465" t="s">
        <v>96</v>
      </c>
      <c r="G2545" s="466">
        <v>5.7</v>
      </c>
      <c r="H2545" s="466">
        <v>2.402</v>
      </c>
      <c r="I2545" s="467">
        <v>2.402</v>
      </c>
      <c r="J2545" s="468">
        <v>0</v>
      </c>
    </row>
    <row r="2546" spans="1:10" ht="12.75" outlineLevel="2">
      <c r="A2546" s="645">
        <v>2149118013</v>
      </c>
      <c r="B2546" s="635" t="s">
        <v>476</v>
      </c>
      <c r="C2546" s="635" t="s">
        <v>1774</v>
      </c>
      <c r="D2546" s="635"/>
      <c r="E2546" s="635" t="s">
        <v>1533</v>
      </c>
      <c r="F2546" s="465" t="s">
        <v>96</v>
      </c>
      <c r="G2546" s="466">
        <v>6</v>
      </c>
      <c r="H2546" s="466">
        <v>0</v>
      </c>
      <c r="I2546" s="467">
        <v>0</v>
      </c>
      <c r="J2546" s="468">
        <v>0</v>
      </c>
    </row>
    <row r="2547" spans="1:10" ht="12.75" outlineLevel="2">
      <c r="A2547" s="645">
        <v>2149118013</v>
      </c>
      <c r="B2547" s="635" t="s">
        <v>476</v>
      </c>
      <c r="C2547" s="635" t="s">
        <v>1774</v>
      </c>
      <c r="D2547" s="635"/>
      <c r="E2547" s="635" t="s">
        <v>1533</v>
      </c>
      <c r="F2547" s="465" t="s">
        <v>118</v>
      </c>
      <c r="G2547" s="466">
        <v>34</v>
      </c>
      <c r="H2547" s="466">
        <v>0</v>
      </c>
      <c r="I2547" s="467">
        <v>0</v>
      </c>
      <c r="J2547" s="468">
        <v>0</v>
      </c>
    </row>
    <row r="2548" spans="1:10" ht="12.75" outlineLevel="2">
      <c r="A2548" s="645">
        <v>2149118014</v>
      </c>
      <c r="B2548" s="635" t="s">
        <v>716</v>
      </c>
      <c r="C2548" s="635" t="s">
        <v>1774</v>
      </c>
      <c r="D2548" s="635"/>
      <c r="E2548" s="635" t="s">
        <v>1494</v>
      </c>
      <c r="F2548" s="465" t="s">
        <v>1845</v>
      </c>
      <c r="G2548" s="466">
        <v>0.5</v>
      </c>
      <c r="H2548" s="466">
        <v>2</v>
      </c>
      <c r="I2548" s="467">
        <v>0.618</v>
      </c>
      <c r="J2548" s="468">
        <v>1.382</v>
      </c>
    </row>
    <row r="2549" spans="1:10" ht="12.75" outlineLevel="2">
      <c r="A2549" s="645">
        <v>2149118015</v>
      </c>
      <c r="B2549" s="635" t="s">
        <v>717</v>
      </c>
      <c r="C2549" s="635" t="s">
        <v>1774</v>
      </c>
      <c r="D2549" s="635"/>
      <c r="E2549" s="635" t="s">
        <v>1494</v>
      </c>
      <c r="F2549" s="465" t="s">
        <v>1845</v>
      </c>
      <c r="G2549" s="466">
        <v>174.597</v>
      </c>
      <c r="H2549" s="466">
        <v>80.365</v>
      </c>
      <c r="I2549" s="467">
        <v>80.318</v>
      </c>
      <c r="J2549" s="468">
        <v>0.047</v>
      </c>
    </row>
    <row r="2550" spans="1:10" ht="12.75" outlineLevel="2">
      <c r="A2550" s="645">
        <v>2149118016</v>
      </c>
      <c r="B2550" s="635" t="s">
        <v>2294</v>
      </c>
      <c r="C2550" s="635" t="s">
        <v>1774</v>
      </c>
      <c r="D2550" s="635"/>
      <c r="E2550" s="635" t="s">
        <v>1494</v>
      </c>
      <c r="F2550" s="465" t="s">
        <v>1845</v>
      </c>
      <c r="G2550" s="466">
        <v>34.114</v>
      </c>
      <c r="H2550" s="466">
        <v>31.974</v>
      </c>
      <c r="I2550" s="467">
        <v>31.087</v>
      </c>
      <c r="J2550" s="468">
        <v>0.887</v>
      </c>
    </row>
    <row r="2551" spans="1:10" ht="12.75" outlineLevel="2">
      <c r="A2551" s="645">
        <v>2149118018</v>
      </c>
      <c r="B2551" s="635" t="s">
        <v>718</v>
      </c>
      <c r="C2551" s="635" t="s">
        <v>1774</v>
      </c>
      <c r="D2551" s="635"/>
      <c r="E2551" s="635" t="s">
        <v>1494</v>
      </c>
      <c r="F2551" s="465" t="s">
        <v>1845</v>
      </c>
      <c r="G2551" s="466">
        <v>0</v>
      </c>
      <c r="H2551" s="466">
        <v>0.046</v>
      </c>
      <c r="I2551" s="467">
        <v>0.045</v>
      </c>
      <c r="J2551" s="468">
        <v>0.001</v>
      </c>
    </row>
    <row r="2552" spans="1:10" ht="12.75" outlineLevel="2">
      <c r="A2552" s="645">
        <v>2149118019</v>
      </c>
      <c r="B2552" s="635" t="s">
        <v>719</v>
      </c>
      <c r="C2552" s="635" t="s">
        <v>1774</v>
      </c>
      <c r="D2552" s="635"/>
      <c r="E2552" s="635" t="s">
        <v>1494</v>
      </c>
      <c r="F2552" s="465" t="s">
        <v>1845</v>
      </c>
      <c r="G2552" s="466">
        <v>0</v>
      </c>
      <c r="H2552" s="466">
        <v>1</v>
      </c>
      <c r="I2552" s="467">
        <v>0.999</v>
      </c>
      <c r="J2552" s="468">
        <v>0.001</v>
      </c>
    </row>
    <row r="2553" spans="1:10" ht="12.75" outlineLevel="2">
      <c r="A2553" s="645">
        <v>2149118020</v>
      </c>
      <c r="B2553" s="635" t="s">
        <v>720</v>
      </c>
      <c r="C2553" s="635" t="s">
        <v>1774</v>
      </c>
      <c r="D2553" s="635"/>
      <c r="E2553" s="635" t="s">
        <v>1494</v>
      </c>
      <c r="F2553" s="465" t="s">
        <v>1845</v>
      </c>
      <c r="G2553" s="466">
        <v>0</v>
      </c>
      <c r="H2553" s="466">
        <v>0.5</v>
      </c>
      <c r="I2553" s="467">
        <v>0.5</v>
      </c>
      <c r="J2553" s="468">
        <v>0</v>
      </c>
    </row>
    <row r="2554" spans="1:10" ht="12.75" outlineLevel="2">
      <c r="A2554" s="645">
        <v>2149118021</v>
      </c>
      <c r="B2554" s="635" t="s">
        <v>721</v>
      </c>
      <c r="C2554" s="635" t="s">
        <v>1774</v>
      </c>
      <c r="D2554" s="635"/>
      <c r="E2554" s="635" t="s">
        <v>1494</v>
      </c>
      <c r="F2554" s="465" t="s">
        <v>1845</v>
      </c>
      <c r="G2554" s="466">
        <v>0</v>
      </c>
      <c r="H2554" s="466">
        <v>0.465</v>
      </c>
      <c r="I2554" s="467">
        <v>0.465</v>
      </c>
      <c r="J2554" s="468">
        <v>0</v>
      </c>
    </row>
    <row r="2555" spans="1:10" ht="12.75" outlineLevel="2">
      <c r="A2555" s="645">
        <v>2149118022</v>
      </c>
      <c r="B2555" s="635" t="s">
        <v>722</v>
      </c>
      <c r="C2555" s="635" t="s">
        <v>1774</v>
      </c>
      <c r="D2555" s="635"/>
      <c r="E2555" s="635" t="s">
        <v>1494</v>
      </c>
      <c r="F2555" s="465" t="s">
        <v>1845</v>
      </c>
      <c r="G2555" s="466">
        <v>0</v>
      </c>
      <c r="H2555" s="466">
        <v>0.825</v>
      </c>
      <c r="I2555" s="467">
        <v>0.825</v>
      </c>
      <c r="J2555" s="468">
        <v>0</v>
      </c>
    </row>
    <row r="2556" spans="1:10" ht="12.75" outlineLevel="2">
      <c r="A2556" s="645">
        <v>2149118023</v>
      </c>
      <c r="B2556" s="635" t="s">
        <v>723</v>
      </c>
      <c r="C2556" s="635" t="s">
        <v>1774</v>
      </c>
      <c r="D2556" s="635"/>
      <c r="E2556" s="635" t="s">
        <v>1494</v>
      </c>
      <c r="F2556" s="465" t="s">
        <v>1845</v>
      </c>
      <c r="G2556" s="466">
        <v>0</v>
      </c>
      <c r="H2556" s="466">
        <v>69.076</v>
      </c>
      <c r="I2556" s="467">
        <v>68.277</v>
      </c>
      <c r="J2556" s="468">
        <v>0.799</v>
      </c>
    </row>
    <row r="2557" spans="1:10" ht="12.75" outlineLevel="2">
      <c r="A2557" s="645">
        <v>2149118023</v>
      </c>
      <c r="B2557" s="635" t="s">
        <v>723</v>
      </c>
      <c r="C2557" s="635" t="s">
        <v>1774</v>
      </c>
      <c r="D2557" s="635"/>
      <c r="E2557" s="635" t="s">
        <v>1494</v>
      </c>
      <c r="F2557" s="465" t="s">
        <v>332</v>
      </c>
      <c r="G2557" s="466">
        <v>0</v>
      </c>
      <c r="H2557" s="466">
        <v>0</v>
      </c>
      <c r="I2557" s="467">
        <v>9.631</v>
      </c>
      <c r="J2557" s="468">
        <v>0</v>
      </c>
    </row>
    <row r="2558" spans="1:10" ht="12.75" outlineLevel="2">
      <c r="A2558" s="645">
        <v>2149118024</v>
      </c>
      <c r="B2558" s="635" t="s">
        <v>724</v>
      </c>
      <c r="C2558" s="635" t="s">
        <v>1774</v>
      </c>
      <c r="D2558" s="635"/>
      <c r="E2558" s="635" t="s">
        <v>1494</v>
      </c>
      <c r="F2558" s="465" t="s">
        <v>1845</v>
      </c>
      <c r="G2558" s="466">
        <v>0</v>
      </c>
      <c r="H2558" s="466">
        <v>4.173</v>
      </c>
      <c r="I2558" s="467">
        <v>4.155</v>
      </c>
      <c r="J2558" s="468">
        <v>0.018</v>
      </c>
    </row>
    <row r="2559" spans="1:10" ht="12.75" outlineLevel="2">
      <c r="A2559" s="645">
        <v>2149118025</v>
      </c>
      <c r="B2559" s="635" t="s">
        <v>725</v>
      </c>
      <c r="C2559" s="635" t="s">
        <v>1774</v>
      </c>
      <c r="D2559" s="635"/>
      <c r="E2559" s="635" t="s">
        <v>1494</v>
      </c>
      <c r="F2559" s="465" t="s">
        <v>96</v>
      </c>
      <c r="G2559" s="466">
        <v>0</v>
      </c>
      <c r="H2559" s="466">
        <v>2.589</v>
      </c>
      <c r="I2559" s="467">
        <v>2.587</v>
      </c>
      <c r="J2559" s="468">
        <v>0.002</v>
      </c>
    </row>
    <row r="2560" spans="1:10" ht="12.75" outlineLevel="2">
      <c r="A2560" s="645">
        <v>2149128001</v>
      </c>
      <c r="B2560" s="635" t="s">
        <v>726</v>
      </c>
      <c r="C2560" s="635" t="s">
        <v>1774</v>
      </c>
      <c r="D2560" s="635"/>
      <c r="E2560" s="635" t="s">
        <v>1494</v>
      </c>
      <c r="F2560" s="465" t="s">
        <v>96</v>
      </c>
      <c r="G2560" s="466">
        <v>12</v>
      </c>
      <c r="H2560" s="466">
        <v>0</v>
      </c>
      <c r="I2560" s="467">
        <v>0</v>
      </c>
      <c r="J2560" s="468">
        <v>0</v>
      </c>
    </row>
    <row r="2561" spans="1:10" ht="12.75" outlineLevel="2">
      <c r="A2561" s="645">
        <v>2149128002</v>
      </c>
      <c r="B2561" s="635" t="s">
        <v>727</v>
      </c>
      <c r="C2561" s="635" t="s">
        <v>1774</v>
      </c>
      <c r="D2561" s="635"/>
      <c r="E2561" s="635" t="s">
        <v>1494</v>
      </c>
      <c r="F2561" s="465" t="s">
        <v>96</v>
      </c>
      <c r="G2561" s="466">
        <v>6.086</v>
      </c>
      <c r="H2561" s="466">
        <v>0</v>
      </c>
      <c r="I2561" s="467">
        <v>0</v>
      </c>
      <c r="J2561" s="468">
        <v>0</v>
      </c>
    </row>
    <row r="2562" spans="1:10" ht="12.75" outlineLevel="2">
      <c r="A2562" s="645">
        <v>2149128003</v>
      </c>
      <c r="B2562" s="635" t="s">
        <v>728</v>
      </c>
      <c r="C2562" s="635" t="s">
        <v>1774</v>
      </c>
      <c r="D2562" s="635"/>
      <c r="E2562" s="635" t="s">
        <v>1494</v>
      </c>
      <c r="F2562" s="465" t="s">
        <v>96</v>
      </c>
      <c r="G2562" s="466">
        <v>0</v>
      </c>
      <c r="H2562" s="466">
        <v>20.693</v>
      </c>
      <c r="I2562" s="467">
        <v>20.692</v>
      </c>
      <c r="J2562" s="468">
        <v>0.001</v>
      </c>
    </row>
    <row r="2563" spans="1:10" ht="12.75" outlineLevel="2">
      <c r="A2563" s="645">
        <v>2149128004</v>
      </c>
      <c r="B2563" s="635" t="s">
        <v>729</v>
      </c>
      <c r="C2563" s="635" t="s">
        <v>1774</v>
      </c>
      <c r="D2563" s="635"/>
      <c r="E2563" s="635" t="s">
        <v>1494</v>
      </c>
      <c r="F2563" s="465" t="s">
        <v>1845</v>
      </c>
      <c r="G2563" s="466">
        <v>0</v>
      </c>
      <c r="H2563" s="466">
        <v>1.739</v>
      </c>
      <c r="I2563" s="467">
        <v>0</v>
      </c>
      <c r="J2563" s="468">
        <v>1.739</v>
      </c>
    </row>
    <row r="2564" spans="1:10" ht="12.75" outlineLevel="2">
      <c r="A2564" s="645">
        <v>2149135009</v>
      </c>
      <c r="B2564" s="635" t="s">
        <v>730</v>
      </c>
      <c r="C2564" s="635" t="s">
        <v>1774</v>
      </c>
      <c r="D2564" s="635"/>
      <c r="E2564" s="635" t="s">
        <v>1494</v>
      </c>
      <c r="F2564" s="465" t="s">
        <v>1845</v>
      </c>
      <c r="G2564" s="466">
        <v>243.825</v>
      </c>
      <c r="H2564" s="466">
        <v>237.125</v>
      </c>
      <c r="I2564" s="467">
        <v>237.058</v>
      </c>
      <c r="J2564" s="468">
        <v>0.067</v>
      </c>
    </row>
    <row r="2565" spans="1:10" ht="12.75" outlineLevel="2">
      <c r="A2565" s="645">
        <v>2149136005</v>
      </c>
      <c r="B2565" s="635" t="s">
        <v>731</v>
      </c>
      <c r="C2565" s="635" t="s">
        <v>1774</v>
      </c>
      <c r="D2565" s="635"/>
      <c r="E2565" s="635" t="s">
        <v>1494</v>
      </c>
      <c r="F2565" s="465" t="s">
        <v>332</v>
      </c>
      <c r="G2565" s="466">
        <v>0</v>
      </c>
      <c r="H2565" s="466">
        <v>0</v>
      </c>
      <c r="I2565" s="467">
        <v>0.177</v>
      </c>
      <c r="J2565" s="468">
        <v>0</v>
      </c>
    </row>
    <row r="2566" spans="1:10" ht="12.75" outlineLevel="2">
      <c r="A2566" s="645">
        <v>2149136005</v>
      </c>
      <c r="B2566" s="635" t="s">
        <v>731</v>
      </c>
      <c r="C2566" s="635" t="s">
        <v>1774</v>
      </c>
      <c r="D2566" s="635"/>
      <c r="E2566" s="635" t="s">
        <v>1494</v>
      </c>
      <c r="F2566" s="465" t="s">
        <v>333</v>
      </c>
      <c r="G2566" s="466">
        <v>0</v>
      </c>
      <c r="H2566" s="466">
        <v>0</v>
      </c>
      <c r="I2566" s="467">
        <v>6.488</v>
      </c>
      <c r="J2566" s="468">
        <v>0</v>
      </c>
    </row>
    <row r="2567" spans="1:10" ht="12.75" outlineLevel="2">
      <c r="A2567" s="645">
        <v>2149136006</v>
      </c>
      <c r="B2567" s="635" t="s">
        <v>732</v>
      </c>
      <c r="C2567" s="635" t="s">
        <v>1774</v>
      </c>
      <c r="D2567" s="635"/>
      <c r="E2567" s="635" t="s">
        <v>1494</v>
      </c>
      <c r="F2567" s="465" t="s">
        <v>1845</v>
      </c>
      <c r="G2567" s="466">
        <v>0</v>
      </c>
      <c r="H2567" s="466">
        <v>0.676</v>
      </c>
      <c r="I2567" s="467">
        <v>0.676</v>
      </c>
      <c r="J2567" s="468">
        <v>0</v>
      </c>
    </row>
    <row r="2568" spans="1:10" ht="12.75" outlineLevel="2">
      <c r="A2568" s="645">
        <v>2149137008</v>
      </c>
      <c r="B2568" s="635" t="s">
        <v>733</v>
      </c>
      <c r="C2568" s="635" t="s">
        <v>1774</v>
      </c>
      <c r="D2568" s="635"/>
      <c r="E2568" s="635" t="s">
        <v>1494</v>
      </c>
      <c r="F2568" s="465" t="s">
        <v>332</v>
      </c>
      <c r="G2568" s="466">
        <v>0</v>
      </c>
      <c r="H2568" s="466">
        <v>0</v>
      </c>
      <c r="I2568" s="467">
        <v>7.943</v>
      </c>
      <c r="J2568" s="468">
        <v>0</v>
      </c>
    </row>
    <row r="2569" spans="1:10" ht="12.75" outlineLevel="2">
      <c r="A2569" s="645">
        <v>2149137008</v>
      </c>
      <c r="B2569" s="635" t="s">
        <v>733</v>
      </c>
      <c r="C2569" s="635" t="s">
        <v>1774</v>
      </c>
      <c r="D2569" s="635"/>
      <c r="E2569" s="635" t="s">
        <v>1494</v>
      </c>
      <c r="F2569" s="465" t="s">
        <v>333</v>
      </c>
      <c r="G2569" s="466">
        <v>0</v>
      </c>
      <c r="H2569" s="466">
        <v>0</v>
      </c>
      <c r="I2569" s="467">
        <v>75.557</v>
      </c>
      <c r="J2569" s="468">
        <v>0</v>
      </c>
    </row>
    <row r="2570" spans="1:10" ht="12.75" outlineLevel="2">
      <c r="A2570" s="645">
        <v>2149137009</v>
      </c>
      <c r="B2570" s="635" t="s">
        <v>734</v>
      </c>
      <c r="C2570" s="635" t="s">
        <v>1774</v>
      </c>
      <c r="D2570" s="635"/>
      <c r="E2570" s="635" t="s">
        <v>1494</v>
      </c>
      <c r="F2570" s="465" t="s">
        <v>332</v>
      </c>
      <c r="G2570" s="466">
        <v>0</v>
      </c>
      <c r="H2570" s="466">
        <v>0</v>
      </c>
      <c r="I2570" s="467">
        <v>0.097</v>
      </c>
      <c r="J2570" s="468">
        <v>0</v>
      </c>
    </row>
    <row r="2571" spans="1:10" ht="12.75" outlineLevel="2">
      <c r="A2571" s="645">
        <v>2149137009</v>
      </c>
      <c r="B2571" s="635" t="s">
        <v>734</v>
      </c>
      <c r="C2571" s="635" t="s">
        <v>1774</v>
      </c>
      <c r="D2571" s="635"/>
      <c r="E2571" s="635" t="s">
        <v>1494</v>
      </c>
      <c r="F2571" s="465" t="s">
        <v>333</v>
      </c>
      <c r="G2571" s="466">
        <v>0</v>
      </c>
      <c r="H2571" s="466">
        <v>0</v>
      </c>
      <c r="I2571" s="467">
        <v>10.8</v>
      </c>
      <c r="J2571" s="468">
        <v>0</v>
      </c>
    </row>
    <row r="2572" spans="1:10" ht="12.75" outlineLevel="2">
      <c r="A2572" s="645">
        <v>2149137010</v>
      </c>
      <c r="B2572" s="635" t="s">
        <v>735</v>
      </c>
      <c r="C2572" s="635" t="s">
        <v>1774</v>
      </c>
      <c r="D2572" s="635"/>
      <c r="E2572" s="635" t="s">
        <v>1494</v>
      </c>
      <c r="F2572" s="465" t="s">
        <v>332</v>
      </c>
      <c r="G2572" s="466">
        <v>0</v>
      </c>
      <c r="H2572" s="466">
        <v>0</v>
      </c>
      <c r="I2572" s="467">
        <v>44.716</v>
      </c>
      <c r="J2572" s="468">
        <v>0</v>
      </c>
    </row>
    <row r="2573" spans="1:10" ht="12.75" outlineLevel="2">
      <c r="A2573" s="645">
        <v>2149137010</v>
      </c>
      <c r="B2573" s="635" t="s">
        <v>735</v>
      </c>
      <c r="C2573" s="635" t="s">
        <v>1774</v>
      </c>
      <c r="D2573" s="635"/>
      <c r="E2573" s="635" t="s">
        <v>1494</v>
      </c>
      <c r="F2573" s="465" t="s">
        <v>333</v>
      </c>
      <c r="G2573" s="466">
        <v>0</v>
      </c>
      <c r="H2573" s="466">
        <v>0</v>
      </c>
      <c r="I2573" s="467">
        <v>32.605</v>
      </c>
      <c r="J2573" s="468">
        <v>0</v>
      </c>
    </row>
    <row r="2574" spans="1:10" ht="12.75" outlineLevel="2">
      <c r="A2574" s="645">
        <v>2149138001</v>
      </c>
      <c r="B2574" s="635" t="s">
        <v>736</v>
      </c>
      <c r="C2574" s="635" t="s">
        <v>1774</v>
      </c>
      <c r="D2574" s="635"/>
      <c r="E2574" s="635" t="s">
        <v>1494</v>
      </c>
      <c r="F2574" s="465" t="s">
        <v>1845</v>
      </c>
      <c r="G2574" s="466">
        <v>30.98</v>
      </c>
      <c r="H2574" s="466">
        <v>24.413</v>
      </c>
      <c r="I2574" s="467">
        <v>24.359</v>
      </c>
      <c r="J2574" s="468">
        <v>0.054</v>
      </c>
    </row>
    <row r="2575" spans="1:10" ht="12.75" outlineLevel="2">
      <c r="A2575" s="645">
        <v>2149138002</v>
      </c>
      <c r="B2575" s="635" t="s">
        <v>737</v>
      </c>
      <c r="C2575" s="635" t="s">
        <v>1774</v>
      </c>
      <c r="D2575" s="635"/>
      <c r="E2575" s="635" t="s">
        <v>1494</v>
      </c>
      <c r="F2575" s="465" t="s">
        <v>1845</v>
      </c>
      <c r="G2575" s="466">
        <v>1.007</v>
      </c>
      <c r="H2575" s="466">
        <v>0</v>
      </c>
      <c r="I2575" s="467">
        <v>0</v>
      </c>
      <c r="J2575" s="468">
        <v>0</v>
      </c>
    </row>
    <row r="2576" spans="1:10" ht="12.75" outlineLevel="2">
      <c r="A2576" s="645">
        <v>2149138003</v>
      </c>
      <c r="B2576" s="635" t="s">
        <v>738</v>
      </c>
      <c r="C2576" s="635" t="s">
        <v>1774</v>
      </c>
      <c r="D2576" s="635"/>
      <c r="E2576" s="635" t="s">
        <v>1494</v>
      </c>
      <c r="F2576" s="465" t="s">
        <v>1845</v>
      </c>
      <c r="G2576" s="466">
        <v>1.176</v>
      </c>
      <c r="H2576" s="466">
        <v>0</v>
      </c>
      <c r="I2576" s="467">
        <v>0</v>
      </c>
      <c r="J2576" s="468">
        <v>0</v>
      </c>
    </row>
    <row r="2577" spans="1:10" ht="12.75" outlineLevel="2">
      <c r="A2577" s="645">
        <v>2149138003</v>
      </c>
      <c r="B2577" s="635" t="s">
        <v>738</v>
      </c>
      <c r="C2577" s="635" t="s">
        <v>1774</v>
      </c>
      <c r="D2577" s="635"/>
      <c r="E2577" s="635" t="s">
        <v>1494</v>
      </c>
      <c r="F2577" s="465" t="s">
        <v>96</v>
      </c>
      <c r="G2577" s="466">
        <v>39.41</v>
      </c>
      <c r="H2577" s="466">
        <v>0</v>
      </c>
      <c r="I2577" s="467">
        <v>0</v>
      </c>
      <c r="J2577" s="468">
        <v>0</v>
      </c>
    </row>
    <row r="2578" spans="1:10" ht="12.75" outlineLevel="2">
      <c r="A2578" s="645">
        <v>2149138004</v>
      </c>
      <c r="B2578" s="635" t="s">
        <v>739</v>
      </c>
      <c r="C2578" s="635" t="s">
        <v>1774</v>
      </c>
      <c r="D2578" s="635"/>
      <c r="E2578" s="635" t="s">
        <v>1494</v>
      </c>
      <c r="F2578" s="465" t="s">
        <v>96</v>
      </c>
      <c r="G2578" s="466">
        <v>26.814</v>
      </c>
      <c r="H2578" s="466">
        <v>6.172</v>
      </c>
      <c r="I2578" s="467">
        <v>6.171</v>
      </c>
      <c r="J2578" s="468">
        <v>0.001</v>
      </c>
    </row>
    <row r="2579" spans="1:10" ht="12.75" outlineLevel="2">
      <c r="A2579" s="645">
        <v>2149138006</v>
      </c>
      <c r="B2579" s="635" t="s">
        <v>740</v>
      </c>
      <c r="C2579" s="635" t="s">
        <v>1774</v>
      </c>
      <c r="D2579" s="635"/>
      <c r="E2579" s="635" t="s">
        <v>1494</v>
      </c>
      <c r="F2579" s="465" t="s">
        <v>1845</v>
      </c>
      <c r="G2579" s="466">
        <v>0</v>
      </c>
      <c r="H2579" s="466">
        <v>0.153</v>
      </c>
      <c r="I2579" s="467">
        <v>0.06</v>
      </c>
      <c r="J2579" s="468">
        <v>0.093</v>
      </c>
    </row>
    <row r="2580" spans="1:10" ht="12.75" outlineLevel="2">
      <c r="A2580" s="645">
        <v>2149138006</v>
      </c>
      <c r="B2580" s="635" t="s">
        <v>740</v>
      </c>
      <c r="C2580" s="635" t="s">
        <v>1774</v>
      </c>
      <c r="D2580" s="635"/>
      <c r="E2580" s="635" t="s">
        <v>1494</v>
      </c>
      <c r="F2580" s="465" t="s">
        <v>96</v>
      </c>
      <c r="G2580" s="466">
        <v>0</v>
      </c>
      <c r="H2580" s="466">
        <v>0.921</v>
      </c>
      <c r="I2580" s="467">
        <v>0.727</v>
      </c>
      <c r="J2580" s="468">
        <v>0.194</v>
      </c>
    </row>
    <row r="2581" spans="1:10" ht="12.75" outlineLevel="2">
      <c r="A2581" s="645">
        <v>2149138007</v>
      </c>
      <c r="B2581" s="635" t="s">
        <v>741</v>
      </c>
      <c r="C2581" s="635" t="s">
        <v>1774</v>
      </c>
      <c r="D2581" s="635"/>
      <c r="E2581" s="635" t="s">
        <v>1494</v>
      </c>
      <c r="F2581" s="465" t="s">
        <v>1845</v>
      </c>
      <c r="G2581" s="466">
        <v>0</v>
      </c>
      <c r="H2581" s="466">
        <v>0.343</v>
      </c>
      <c r="I2581" s="467">
        <v>0.342</v>
      </c>
      <c r="J2581" s="468">
        <v>0.001</v>
      </c>
    </row>
    <row r="2582" spans="1:10" ht="12.75" outlineLevel="2">
      <c r="A2582" s="645">
        <v>2149138007</v>
      </c>
      <c r="B2582" s="635" t="s">
        <v>741</v>
      </c>
      <c r="C2582" s="635" t="s">
        <v>1774</v>
      </c>
      <c r="D2582" s="635"/>
      <c r="E2582" s="635" t="s">
        <v>1494</v>
      </c>
      <c r="F2582" s="465" t="s">
        <v>96</v>
      </c>
      <c r="G2582" s="466">
        <v>0</v>
      </c>
      <c r="H2582" s="466">
        <v>3.857</v>
      </c>
      <c r="I2582" s="467">
        <v>3.853</v>
      </c>
      <c r="J2582" s="468">
        <v>0.004</v>
      </c>
    </row>
    <row r="2583" spans="1:10" ht="12.75" outlineLevel="2">
      <c r="A2583" s="645">
        <v>2149138008</v>
      </c>
      <c r="B2583" s="635" t="s">
        <v>742</v>
      </c>
      <c r="C2583" s="635" t="s">
        <v>1774</v>
      </c>
      <c r="D2583" s="635"/>
      <c r="E2583" s="635" t="s">
        <v>1494</v>
      </c>
      <c r="F2583" s="465" t="s">
        <v>1845</v>
      </c>
      <c r="G2583" s="466">
        <v>0</v>
      </c>
      <c r="H2583" s="466">
        <v>0.083</v>
      </c>
      <c r="I2583" s="467">
        <v>0.082</v>
      </c>
      <c r="J2583" s="468">
        <v>0.001</v>
      </c>
    </row>
    <row r="2584" spans="1:10" ht="12.75" outlineLevel="2">
      <c r="A2584" s="645">
        <v>2149138008</v>
      </c>
      <c r="B2584" s="635" t="s">
        <v>742</v>
      </c>
      <c r="C2584" s="635" t="s">
        <v>1774</v>
      </c>
      <c r="D2584" s="635"/>
      <c r="E2584" s="635" t="s">
        <v>1494</v>
      </c>
      <c r="F2584" s="465" t="s">
        <v>96</v>
      </c>
      <c r="G2584" s="466">
        <v>0</v>
      </c>
      <c r="H2584" s="466">
        <v>7.617</v>
      </c>
      <c r="I2584" s="467">
        <v>7.614</v>
      </c>
      <c r="J2584" s="468">
        <v>0.003</v>
      </c>
    </row>
    <row r="2585" spans="1:10" ht="12.75" outlineLevel="2">
      <c r="A2585" s="645">
        <v>2149138009</v>
      </c>
      <c r="B2585" s="635" t="s">
        <v>743</v>
      </c>
      <c r="C2585" s="635" t="s">
        <v>1774</v>
      </c>
      <c r="D2585" s="635"/>
      <c r="E2585" s="635" t="s">
        <v>1494</v>
      </c>
      <c r="F2585" s="465" t="s">
        <v>96</v>
      </c>
      <c r="G2585" s="466">
        <v>0</v>
      </c>
      <c r="H2585" s="466">
        <v>2.299</v>
      </c>
      <c r="I2585" s="467">
        <v>2.296</v>
      </c>
      <c r="J2585" s="468">
        <v>0.003</v>
      </c>
    </row>
    <row r="2586" spans="1:10" ht="12.75" outlineLevel="2">
      <c r="A2586" s="645">
        <v>2149148001</v>
      </c>
      <c r="B2586" s="635" t="s">
        <v>2045</v>
      </c>
      <c r="C2586" s="635" t="s">
        <v>1774</v>
      </c>
      <c r="D2586" s="635"/>
      <c r="E2586" s="635" t="s">
        <v>1494</v>
      </c>
      <c r="F2586" s="465" t="s">
        <v>1845</v>
      </c>
      <c r="G2586" s="466">
        <v>1.35</v>
      </c>
      <c r="H2586" s="466">
        <v>0.98</v>
      </c>
      <c r="I2586" s="467">
        <v>0.957</v>
      </c>
      <c r="J2586" s="468">
        <v>0.023</v>
      </c>
    </row>
    <row r="2587" spans="1:10" ht="12.75" outlineLevel="2">
      <c r="A2587" s="645">
        <v>2149148002</v>
      </c>
      <c r="B2587" s="635" t="s">
        <v>2046</v>
      </c>
      <c r="C2587" s="635" t="s">
        <v>1774</v>
      </c>
      <c r="D2587" s="635"/>
      <c r="E2587" s="635" t="s">
        <v>1494</v>
      </c>
      <c r="F2587" s="465" t="s">
        <v>96</v>
      </c>
      <c r="G2587" s="466">
        <v>0</v>
      </c>
      <c r="H2587" s="466">
        <v>0.37</v>
      </c>
      <c r="I2587" s="467">
        <v>0.369</v>
      </c>
      <c r="J2587" s="468">
        <v>0.001</v>
      </c>
    </row>
    <row r="2588" spans="1:10" ht="12.75" outlineLevel="2">
      <c r="A2588" s="645">
        <v>2149148003</v>
      </c>
      <c r="B2588" s="635" t="s">
        <v>2047</v>
      </c>
      <c r="C2588" s="635" t="s">
        <v>1774</v>
      </c>
      <c r="D2588" s="635"/>
      <c r="E2588" s="635" t="s">
        <v>1494</v>
      </c>
      <c r="F2588" s="465" t="s">
        <v>1845</v>
      </c>
      <c r="G2588" s="466">
        <v>0</v>
      </c>
      <c r="H2588" s="466">
        <v>2.321</v>
      </c>
      <c r="I2588" s="467">
        <v>2.319</v>
      </c>
      <c r="J2588" s="468">
        <v>0.002</v>
      </c>
    </row>
    <row r="2589" spans="1:10" ht="12.75" outlineLevel="2">
      <c r="A2589" s="645">
        <v>2149148004</v>
      </c>
      <c r="B2589" s="635" t="s">
        <v>2048</v>
      </c>
      <c r="C2589" s="635" t="s">
        <v>1774</v>
      </c>
      <c r="D2589" s="635"/>
      <c r="E2589" s="635" t="s">
        <v>1494</v>
      </c>
      <c r="F2589" s="465" t="s">
        <v>1845</v>
      </c>
      <c r="G2589" s="466">
        <v>0</v>
      </c>
      <c r="H2589" s="466">
        <v>0.597</v>
      </c>
      <c r="I2589" s="467">
        <v>0.592</v>
      </c>
      <c r="J2589" s="468">
        <v>0.005</v>
      </c>
    </row>
    <row r="2590" spans="1:10" ht="12.75" outlineLevel="2">
      <c r="A2590" s="645">
        <v>2149158001</v>
      </c>
      <c r="B2590" s="635" t="s">
        <v>2049</v>
      </c>
      <c r="C2590" s="635" t="s">
        <v>1774</v>
      </c>
      <c r="D2590" s="635"/>
      <c r="E2590" s="635" t="s">
        <v>1494</v>
      </c>
      <c r="F2590" s="465" t="s">
        <v>1845</v>
      </c>
      <c r="G2590" s="466">
        <v>6.127</v>
      </c>
      <c r="H2590" s="466">
        <v>6.027</v>
      </c>
      <c r="I2590" s="467">
        <v>4.52</v>
      </c>
      <c r="J2590" s="468">
        <v>1.507</v>
      </c>
    </row>
    <row r="2591" spans="1:10" ht="12.75" outlineLevel="2">
      <c r="A2591" s="645">
        <v>2149158002</v>
      </c>
      <c r="B2591" s="635" t="s">
        <v>2050</v>
      </c>
      <c r="C2591" s="635" t="s">
        <v>1774</v>
      </c>
      <c r="D2591" s="635"/>
      <c r="E2591" s="635" t="s">
        <v>1494</v>
      </c>
      <c r="F2591" s="465" t="s">
        <v>1845</v>
      </c>
      <c r="G2591" s="466">
        <v>6.835</v>
      </c>
      <c r="H2591" s="466">
        <v>4.241</v>
      </c>
      <c r="I2591" s="467">
        <v>4.045</v>
      </c>
      <c r="J2591" s="468">
        <v>0.196</v>
      </c>
    </row>
    <row r="2592" spans="1:10" ht="12.75" outlineLevel="2">
      <c r="A2592" s="645">
        <v>2149158003</v>
      </c>
      <c r="B2592" s="635" t="s">
        <v>2051</v>
      </c>
      <c r="C2592" s="635" t="s">
        <v>1774</v>
      </c>
      <c r="D2592" s="635"/>
      <c r="E2592" s="635" t="s">
        <v>1494</v>
      </c>
      <c r="F2592" s="465" t="s">
        <v>1845</v>
      </c>
      <c r="G2592" s="466">
        <v>10.5</v>
      </c>
      <c r="H2592" s="466">
        <v>14.014</v>
      </c>
      <c r="I2592" s="467">
        <v>13.015</v>
      </c>
      <c r="J2592" s="468">
        <v>0.999</v>
      </c>
    </row>
    <row r="2593" spans="1:10" ht="12.75" outlineLevel="2">
      <c r="A2593" s="645">
        <v>2149158003</v>
      </c>
      <c r="B2593" s="635" t="s">
        <v>2051</v>
      </c>
      <c r="C2593" s="635" t="s">
        <v>1774</v>
      </c>
      <c r="D2593" s="635"/>
      <c r="E2593" s="635" t="s">
        <v>1494</v>
      </c>
      <c r="F2593" s="465" t="s">
        <v>96</v>
      </c>
      <c r="G2593" s="466">
        <v>12.1</v>
      </c>
      <c r="H2593" s="466">
        <v>0.086</v>
      </c>
      <c r="I2593" s="467">
        <v>0.085</v>
      </c>
      <c r="J2593" s="468">
        <v>0.001</v>
      </c>
    </row>
    <row r="2594" spans="1:10" ht="12.75" outlineLevel="2">
      <c r="A2594" s="645">
        <v>2149158004</v>
      </c>
      <c r="B2594" s="635" t="s">
        <v>2052</v>
      </c>
      <c r="C2594" s="635" t="s">
        <v>1774</v>
      </c>
      <c r="D2594" s="635"/>
      <c r="E2594" s="635" t="s">
        <v>1494</v>
      </c>
      <c r="F2594" s="465" t="s">
        <v>1845</v>
      </c>
      <c r="G2594" s="466">
        <v>0.626</v>
      </c>
      <c r="H2594" s="466">
        <v>0.936</v>
      </c>
      <c r="I2594" s="467">
        <v>0.837</v>
      </c>
      <c r="J2594" s="468">
        <v>0.099</v>
      </c>
    </row>
    <row r="2595" spans="1:10" ht="12.75" outlineLevel="2">
      <c r="A2595" s="645">
        <v>2149158004</v>
      </c>
      <c r="B2595" s="635" t="s">
        <v>2052</v>
      </c>
      <c r="C2595" s="635" t="s">
        <v>1774</v>
      </c>
      <c r="D2595" s="635"/>
      <c r="E2595" s="635" t="s">
        <v>1494</v>
      </c>
      <c r="F2595" s="465" t="s">
        <v>332</v>
      </c>
      <c r="G2595" s="466">
        <v>0</v>
      </c>
      <c r="H2595" s="466">
        <v>0</v>
      </c>
      <c r="I2595" s="467">
        <v>0.095</v>
      </c>
      <c r="J2595" s="468">
        <v>0</v>
      </c>
    </row>
    <row r="2596" spans="1:10" ht="12.75" outlineLevel="2">
      <c r="A2596" s="645">
        <v>2149158004</v>
      </c>
      <c r="B2596" s="635" t="s">
        <v>2052</v>
      </c>
      <c r="C2596" s="635" t="s">
        <v>1774</v>
      </c>
      <c r="D2596" s="635"/>
      <c r="E2596" s="635" t="s">
        <v>1494</v>
      </c>
      <c r="F2596" s="465" t="s">
        <v>96</v>
      </c>
      <c r="G2596" s="466">
        <v>0</v>
      </c>
      <c r="H2596" s="466">
        <v>0.404</v>
      </c>
      <c r="I2596" s="467">
        <v>0.323</v>
      </c>
      <c r="J2596" s="468">
        <v>0.081</v>
      </c>
    </row>
    <row r="2597" spans="1:10" ht="12.75" outlineLevel="2">
      <c r="A2597" s="645">
        <v>2149158005</v>
      </c>
      <c r="B2597" s="635" t="s">
        <v>331</v>
      </c>
      <c r="C2597" s="635" t="s">
        <v>1774</v>
      </c>
      <c r="D2597" s="635"/>
      <c r="E2597" s="635" t="s">
        <v>1494</v>
      </c>
      <c r="F2597" s="465" t="s">
        <v>1845</v>
      </c>
      <c r="G2597" s="466">
        <v>3.858</v>
      </c>
      <c r="H2597" s="466">
        <v>5.474</v>
      </c>
      <c r="I2597" s="467">
        <v>5.102</v>
      </c>
      <c r="J2597" s="468">
        <v>0.372</v>
      </c>
    </row>
    <row r="2598" spans="1:10" ht="12.75" outlineLevel="2">
      <c r="A2598" s="645">
        <v>2149158005</v>
      </c>
      <c r="B2598" s="635" t="s">
        <v>331</v>
      </c>
      <c r="C2598" s="635" t="s">
        <v>1774</v>
      </c>
      <c r="D2598" s="635"/>
      <c r="E2598" s="635" t="s">
        <v>1494</v>
      </c>
      <c r="F2598" s="465" t="s">
        <v>96</v>
      </c>
      <c r="G2598" s="466">
        <v>1.235</v>
      </c>
      <c r="H2598" s="466">
        <v>3.435</v>
      </c>
      <c r="I2598" s="467">
        <v>1.26</v>
      </c>
      <c r="J2598" s="468">
        <v>2.175</v>
      </c>
    </row>
    <row r="2599" spans="1:10" ht="12.75" outlineLevel="2">
      <c r="A2599" s="645">
        <v>2149158006</v>
      </c>
      <c r="B2599" s="635" t="s">
        <v>331</v>
      </c>
      <c r="C2599" s="635" t="s">
        <v>1774</v>
      </c>
      <c r="D2599" s="635"/>
      <c r="E2599" s="635" t="s">
        <v>1494</v>
      </c>
      <c r="F2599" s="465" t="s">
        <v>1845</v>
      </c>
      <c r="G2599" s="466">
        <v>4.5</v>
      </c>
      <c r="H2599" s="466">
        <v>8.284</v>
      </c>
      <c r="I2599" s="467">
        <v>7.273</v>
      </c>
      <c r="J2599" s="468">
        <v>1.011</v>
      </c>
    </row>
    <row r="2600" spans="1:10" ht="12.75" outlineLevel="2">
      <c r="A2600" s="645">
        <v>2149158006</v>
      </c>
      <c r="B2600" s="635" t="s">
        <v>331</v>
      </c>
      <c r="C2600" s="635" t="s">
        <v>1774</v>
      </c>
      <c r="D2600" s="635"/>
      <c r="E2600" s="635" t="s">
        <v>1494</v>
      </c>
      <c r="F2600" s="465" t="s">
        <v>96</v>
      </c>
      <c r="G2600" s="466">
        <v>1.5</v>
      </c>
      <c r="H2600" s="466">
        <v>0</v>
      </c>
      <c r="I2600" s="467">
        <v>0</v>
      </c>
      <c r="J2600" s="468">
        <v>0</v>
      </c>
    </row>
    <row r="2601" spans="1:10" ht="12.75" outlineLevel="2">
      <c r="A2601" s="645">
        <v>2149158007</v>
      </c>
      <c r="B2601" s="635" t="s">
        <v>2053</v>
      </c>
      <c r="C2601" s="635" t="s">
        <v>1774</v>
      </c>
      <c r="D2601" s="635"/>
      <c r="E2601" s="635" t="s">
        <v>1494</v>
      </c>
      <c r="F2601" s="465" t="s">
        <v>1845</v>
      </c>
      <c r="G2601" s="466">
        <v>0</v>
      </c>
      <c r="H2601" s="466">
        <v>23.136</v>
      </c>
      <c r="I2601" s="467">
        <v>6.295</v>
      </c>
      <c r="J2601" s="468">
        <v>16.841</v>
      </c>
    </row>
    <row r="2602" spans="1:10" ht="12.75" outlineLevel="2">
      <c r="A2602" s="645">
        <v>2149158007</v>
      </c>
      <c r="B2602" s="635" t="s">
        <v>2053</v>
      </c>
      <c r="C2602" s="635" t="s">
        <v>1774</v>
      </c>
      <c r="D2602" s="635"/>
      <c r="E2602" s="635" t="s">
        <v>1494</v>
      </c>
      <c r="F2602" s="465" t="s">
        <v>332</v>
      </c>
      <c r="G2602" s="466">
        <v>0</v>
      </c>
      <c r="H2602" s="466">
        <v>0</v>
      </c>
      <c r="I2602" s="467">
        <v>20.237</v>
      </c>
      <c r="J2602" s="468">
        <v>0</v>
      </c>
    </row>
    <row r="2603" spans="1:10" ht="12.75" outlineLevel="2">
      <c r="A2603" s="645">
        <v>2149158007</v>
      </c>
      <c r="B2603" s="635" t="s">
        <v>2053</v>
      </c>
      <c r="C2603" s="635" t="s">
        <v>1774</v>
      </c>
      <c r="D2603" s="635"/>
      <c r="E2603" s="635" t="s">
        <v>1494</v>
      </c>
      <c r="F2603" s="465" t="s">
        <v>333</v>
      </c>
      <c r="G2603" s="466">
        <v>0</v>
      </c>
      <c r="H2603" s="466">
        <v>0</v>
      </c>
      <c r="I2603" s="467">
        <v>0.395</v>
      </c>
      <c r="J2603" s="468">
        <v>0</v>
      </c>
    </row>
    <row r="2604" spans="1:10" ht="12.75" outlineLevel="2">
      <c r="A2604" s="645">
        <v>2149158008</v>
      </c>
      <c r="B2604" s="635" t="s">
        <v>2054</v>
      </c>
      <c r="C2604" s="635" t="s">
        <v>1774</v>
      </c>
      <c r="D2604" s="635"/>
      <c r="E2604" s="635" t="s">
        <v>1494</v>
      </c>
      <c r="F2604" s="465" t="s">
        <v>332</v>
      </c>
      <c r="G2604" s="466">
        <v>0</v>
      </c>
      <c r="H2604" s="466">
        <v>0</v>
      </c>
      <c r="I2604" s="467">
        <v>3.631</v>
      </c>
      <c r="J2604" s="468">
        <v>0</v>
      </c>
    </row>
    <row r="2605" spans="1:10" ht="12.75" outlineLevel="2">
      <c r="A2605" s="645">
        <v>2149158008</v>
      </c>
      <c r="B2605" s="635" t="s">
        <v>2054</v>
      </c>
      <c r="C2605" s="635" t="s">
        <v>1774</v>
      </c>
      <c r="D2605" s="635"/>
      <c r="E2605" s="635" t="s">
        <v>1494</v>
      </c>
      <c r="F2605" s="465" t="s">
        <v>333</v>
      </c>
      <c r="G2605" s="466">
        <v>0</v>
      </c>
      <c r="H2605" s="466">
        <v>0</v>
      </c>
      <c r="I2605" s="467">
        <v>0.098</v>
      </c>
      <c r="J2605" s="468">
        <v>0</v>
      </c>
    </row>
    <row r="2606" spans="1:10" ht="12.75" outlineLevel="2">
      <c r="A2606" s="645">
        <v>2149165005</v>
      </c>
      <c r="B2606" s="635" t="s">
        <v>2055</v>
      </c>
      <c r="C2606" s="635" t="s">
        <v>1774</v>
      </c>
      <c r="D2606" s="635"/>
      <c r="E2606" s="635" t="s">
        <v>1494</v>
      </c>
      <c r="F2606" s="465" t="s">
        <v>333</v>
      </c>
      <c r="G2606" s="466">
        <v>0</v>
      </c>
      <c r="H2606" s="466">
        <v>0</v>
      </c>
      <c r="I2606" s="467">
        <v>9.796</v>
      </c>
      <c r="J2606" s="468">
        <v>0</v>
      </c>
    </row>
    <row r="2607" spans="1:10" ht="12.75" outlineLevel="2">
      <c r="A2607" s="645">
        <v>2149165007</v>
      </c>
      <c r="B2607" s="635" t="s">
        <v>2056</v>
      </c>
      <c r="C2607" s="635" t="s">
        <v>1774</v>
      </c>
      <c r="D2607" s="635"/>
      <c r="E2607" s="635" t="s">
        <v>1494</v>
      </c>
      <c r="F2607" s="465" t="s">
        <v>333</v>
      </c>
      <c r="G2607" s="466">
        <v>0</v>
      </c>
      <c r="H2607" s="466">
        <v>0</v>
      </c>
      <c r="I2607" s="467">
        <v>1.639</v>
      </c>
      <c r="J2607" s="468">
        <v>0</v>
      </c>
    </row>
    <row r="2608" spans="1:10" ht="12.75" outlineLevel="2">
      <c r="A2608" s="645">
        <v>2149166007</v>
      </c>
      <c r="B2608" s="635" t="s">
        <v>2057</v>
      </c>
      <c r="C2608" s="635" t="s">
        <v>1774</v>
      </c>
      <c r="D2608" s="635"/>
      <c r="E2608" s="635" t="s">
        <v>1494</v>
      </c>
      <c r="F2608" s="465" t="s">
        <v>1845</v>
      </c>
      <c r="G2608" s="466">
        <v>4.476</v>
      </c>
      <c r="H2608" s="466">
        <v>4.476</v>
      </c>
      <c r="I2608" s="467">
        <v>4.475</v>
      </c>
      <c r="J2608" s="468">
        <v>0.001</v>
      </c>
    </row>
    <row r="2609" spans="1:10" ht="12.75" outlineLevel="2">
      <c r="A2609" s="645">
        <v>2149166015</v>
      </c>
      <c r="B2609" s="635" t="s">
        <v>752</v>
      </c>
      <c r="C2609" s="635" t="s">
        <v>1774</v>
      </c>
      <c r="D2609" s="635"/>
      <c r="E2609" s="635" t="s">
        <v>1494</v>
      </c>
      <c r="F2609" s="465" t="s">
        <v>332</v>
      </c>
      <c r="G2609" s="466">
        <v>0</v>
      </c>
      <c r="H2609" s="466">
        <v>0</v>
      </c>
      <c r="I2609" s="467">
        <v>2.809</v>
      </c>
      <c r="J2609" s="468">
        <v>0</v>
      </c>
    </row>
    <row r="2610" spans="1:10" ht="12.75" outlineLevel="2">
      <c r="A2610" s="645">
        <v>2149166015</v>
      </c>
      <c r="B2610" s="635" t="s">
        <v>752</v>
      </c>
      <c r="C2610" s="635" t="s">
        <v>1774</v>
      </c>
      <c r="D2610" s="635"/>
      <c r="E2610" s="635" t="s">
        <v>1494</v>
      </c>
      <c r="F2610" s="465" t="s">
        <v>333</v>
      </c>
      <c r="G2610" s="466">
        <v>0</v>
      </c>
      <c r="H2610" s="466">
        <v>0</v>
      </c>
      <c r="I2610" s="467">
        <v>19.883</v>
      </c>
      <c r="J2610" s="468">
        <v>0</v>
      </c>
    </row>
    <row r="2611" spans="1:10" ht="12.75" outlineLevel="2">
      <c r="A2611" s="645">
        <v>2149166017</v>
      </c>
      <c r="B2611" s="635" t="s">
        <v>753</v>
      </c>
      <c r="C2611" s="635" t="s">
        <v>1774</v>
      </c>
      <c r="D2611" s="635"/>
      <c r="E2611" s="635" t="s">
        <v>1494</v>
      </c>
      <c r="F2611" s="465" t="s">
        <v>1845</v>
      </c>
      <c r="G2611" s="466">
        <v>0.891</v>
      </c>
      <c r="H2611" s="466">
        <v>0.891</v>
      </c>
      <c r="I2611" s="467">
        <v>0.891</v>
      </c>
      <c r="J2611" s="468">
        <v>0</v>
      </c>
    </row>
    <row r="2612" spans="1:10" ht="12.75" outlineLevel="2">
      <c r="A2612" s="645">
        <v>2149167001</v>
      </c>
      <c r="B2612" s="635" t="s">
        <v>754</v>
      </c>
      <c r="C2612" s="635" t="s">
        <v>1774</v>
      </c>
      <c r="D2612" s="635"/>
      <c r="E2612" s="635" t="s">
        <v>1494</v>
      </c>
      <c r="F2612" s="465" t="s">
        <v>1845</v>
      </c>
      <c r="G2612" s="466">
        <v>1.067</v>
      </c>
      <c r="H2612" s="466">
        <v>1.067</v>
      </c>
      <c r="I2612" s="467">
        <v>1.067</v>
      </c>
      <c r="J2612" s="468">
        <v>0</v>
      </c>
    </row>
    <row r="2613" spans="1:10" ht="12.75" outlineLevel="2">
      <c r="A2613" s="645">
        <v>2149167002</v>
      </c>
      <c r="B2613" s="635" t="s">
        <v>755</v>
      </c>
      <c r="C2613" s="635" t="s">
        <v>1774</v>
      </c>
      <c r="D2613" s="635"/>
      <c r="E2613" s="635" t="s">
        <v>1494</v>
      </c>
      <c r="F2613" s="465" t="s">
        <v>1845</v>
      </c>
      <c r="G2613" s="466">
        <v>1.188</v>
      </c>
      <c r="H2613" s="466">
        <v>1.188</v>
      </c>
      <c r="I2613" s="467">
        <v>1.187</v>
      </c>
      <c r="J2613" s="468">
        <v>0.001</v>
      </c>
    </row>
    <row r="2614" spans="1:10" ht="12.75" outlineLevel="2">
      <c r="A2614" s="645">
        <v>2149167003</v>
      </c>
      <c r="B2614" s="635" t="s">
        <v>756</v>
      </c>
      <c r="C2614" s="635" t="s">
        <v>1774</v>
      </c>
      <c r="D2614" s="635"/>
      <c r="E2614" s="635" t="s">
        <v>1494</v>
      </c>
      <c r="F2614" s="465" t="s">
        <v>332</v>
      </c>
      <c r="G2614" s="466">
        <v>0</v>
      </c>
      <c r="H2614" s="466">
        <v>0</v>
      </c>
      <c r="I2614" s="467">
        <v>2.139</v>
      </c>
      <c r="J2614" s="468">
        <v>0</v>
      </c>
    </row>
    <row r="2615" spans="1:10" ht="12.75" outlineLevel="2">
      <c r="A2615" s="645">
        <v>2149167003</v>
      </c>
      <c r="B2615" s="635" t="s">
        <v>756</v>
      </c>
      <c r="C2615" s="635" t="s">
        <v>1774</v>
      </c>
      <c r="D2615" s="635"/>
      <c r="E2615" s="635" t="s">
        <v>1494</v>
      </c>
      <c r="F2615" s="465" t="s">
        <v>333</v>
      </c>
      <c r="G2615" s="466">
        <v>0</v>
      </c>
      <c r="H2615" s="466">
        <v>0</v>
      </c>
      <c r="I2615" s="467">
        <v>1.342</v>
      </c>
      <c r="J2615" s="468">
        <v>0</v>
      </c>
    </row>
    <row r="2616" spans="1:10" ht="12.75" outlineLevel="2">
      <c r="A2616" s="645">
        <v>2149167004</v>
      </c>
      <c r="B2616" s="635" t="s">
        <v>757</v>
      </c>
      <c r="C2616" s="635" t="s">
        <v>1774</v>
      </c>
      <c r="D2616" s="635"/>
      <c r="E2616" s="635" t="s">
        <v>1494</v>
      </c>
      <c r="F2616" s="465" t="s">
        <v>1845</v>
      </c>
      <c r="G2616" s="466">
        <v>1.5</v>
      </c>
      <c r="H2616" s="466">
        <v>1.5</v>
      </c>
      <c r="I2616" s="467">
        <v>1.487</v>
      </c>
      <c r="J2616" s="468">
        <v>0.013</v>
      </c>
    </row>
    <row r="2617" spans="1:10" ht="12.75" outlineLevel="2">
      <c r="A2617" s="645">
        <v>2149167005</v>
      </c>
      <c r="B2617" s="635" t="s">
        <v>758</v>
      </c>
      <c r="C2617" s="635" t="s">
        <v>1774</v>
      </c>
      <c r="D2617" s="635"/>
      <c r="E2617" s="635" t="s">
        <v>1494</v>
      </c>
      <c r="F2617" s="465" t="s">
        <v>1845</v>
      </c>
      <c r="G2617" s="466">
        <v>9.514</v>
      </c>
      <c r="H2617" s="466">
        <v>9.514</v>
      </c>
      <c r="I2617" s="467">
        <v>9.513</v>
      </c>
      <c r="J2617" s="468">
        <v>0.001</v>
      </c>
    </row>
    <row r="2618" spans="1:10" ht="12.75" outlineLevel="2">
      <c r="A2618" s="645">
        <v>2149167010</v>
      </c>
      <c r="B2618" s="635" t="s">
        <v>759</v>
      </c>
      <c r="C2618" s="635" t="s">
        <v>1774</v>
      </c>
      <c r="D2618" s="635"/>
      <c r="E2618" s="635" t="s">
        <v>1494</v>
      </c>
      <c r="F2618" s="465" t="s">
        <v>1845</v>
      </c>
      <c r="G2618" s="466">
        <v>15.247</v>
      </c>
      <c r="H2618" s="466">
        <v>14.902</v>
      </c>
      <c r="I2618" s="467">
        <v>11.062</v>
      </c>
      <c r="J2618" s="468">
        <v>3.84</v>
      </c>
    </row>
    <row r="2619" spans="1:10" ht="12.75" outlineLevel="2">
      <c r="A2619" s="645">
        <v>2149167012</v>
      </c>
      <c r="B2619" s="635" t="s">
        <v>760</v>
      </c>
      <c r="C2619" s="635" t="s">
        <v>1774</v>
      </c>
      <c r="D2619" s="635"/>
      <c r="E2619" s="635" t="s">
        <v>1494</v>
      </c>
      <c r="F2619" s="465" t="s">
        <v>1845</v>
      </c>
      <c r="G2619" s="466">
        <v>0</v>
      </c>
      <c r="H2619" s="466">
        <v>0.358</v>
      </c>
      <c r="I2619" s="467">
        <v>0.357</v>
      </c>
      <c r="J2619" s="468">
        <v>0.001</v>
      </c>
    </row>
    <row r="2620" spans="1:10" ht="12.75" outlineLevel="2">
      <c r="A2620" s="645">
        <v>2149167012</v>
      </c>
      <c r="B2620" s="635" t="s">
        <v>760</v>
      </c>
      <c r="C2620" s="635" t="s">
        <v>1774</v>
      </c>
      <c r="D2620" s="635"/>
      <c r="E2620" s="635" t="s">
        <v>1494</v>
      </c>
      <c r="F2620" s="465" t="s">
        <v>96</v>
      </c>
      <c r="G2620" s="466">
        <v>0</v>
      </c>
      <c r="H2620" s="466">
        <v>1.188</v>
      </c>
      <c r="I2620" s="467">
        <v>1.187</v>
      </c>
      <c r="J2620" s="468">
        <v>0.001</v>
      </c>
    </row>
    <row r="2621" spans="1:10" ht="12.75" outlineLevel="2">
      <c r="A2621" s="645">
        <v>2149167013</v>
      </c>
      <c r="B2621" s="635" t="s">
        <v>761</v>
      </c>
      <c r="C2621" s="635" t="s">
        <v>1774</v>
      </c>
      <c r="D2621" s="635"/>
      <c r="E2621" s="635" t="s">
        <v>1494</v>
      </c>
      <c r="F2621" s="465" t="s">
        <v>1845</v>
      </c>
      <c r="G2621" s="466">
        <v>0</v>
      </c>
      <c r="H2621" s="466">
        <v>0.601</v>
      </c>
      <c r="I2621" s="467">
        <v>0.601</v>
      </c>
      <c r="J2621" s="468">
        <v>0</v>
      </c>
    </row>
    <row r="2622" spans="1:10" ht="12.75" outlineLevel="2">
      <c r="A2622" s="645">
        <v>2149167013</v>
      </c>
      <c r="B2622" s="635" t="s">
        <v>761</v>
      </c>
      <c r="C2622" s="635" t="s">
        <v>1774</v>
      </c>
      <c r="D2622" s="635"/>
      <c r="E2622" s="635" t="s">
        <v>1494</v>
      </c>
      <c r="F2622" s="465" t="s">
        <v>96</v>
      </c>
      <c r="G2622" s="466">
        <v>0</v>
      </c>
      <c r="H2622" s="466">
        <v>0.206</v>
      </c>
      <c r="I2622" s="467">
        <v>0.205</v>
      </c>
      <c r="J2622" s="468">
        <v>0.001</v>
      </c>
    </row>
    <row r="2623" spans="1:10" ht="12.75" outlineLevel="2">
      <c r="A2623" s="645">
        <v>2149167014</v>
      </c>
      <c r="B2623" s="635" t="s">
        <v>762</v>
      </c>
      <c r="C2623" s="635" t="s">
        <v>1774</v>
      </c>
      <c r="D2623" s="635"/>
      <c r="E2623" s="635" t="s">
        <v>1494</v>
      </c>
      <c r="F2623" s="465" t="s">
        <v>1845</v>
      </c>
      <c r="G2623" s="466">
        <v>0.35</v>
      </c>
      <c r="H2623" s="466">
        <v>0.294</v>
      </c>
      <c r="I2623" s="467">
        <v>0.294</v>
      </c>
      <c r="J2623" s="468">
        <v>0</v>
      </c>
    </row>
    <row r="2624" spans="1:10" ht="12.75" outlineLevel="2">
      <c r="A2624" s="645">
        <v>2149167017</v>
      </c>
      <c r="B2624" s="635" t="s">
        <v>763</v>
      </c>
      <c r="C2624" s="635" t="s">
        <v>1774</v>
      </c>
      <c r="D2624" s="635"/>
      <c r="E2624" s="635" t="s">
        <v>1494</v>
      </c>
      <c r="F2624" s="465" t="s">
        <v>332</v>
      </c>
      <c r="G2624" s="466">
        <v>0</v>
      </c>
      <c r="H2624" s="466">
        <v>0</v>
      </c>
      <c r="I2624" s="467">
        <v>0.967</v>
      </c>
      <c r="J2624" s="468">
        <v>0</v>
      </c>
    </row>
    <row r="2625" spans="1:10" ht="12.75" outlineLevel="2">
      <c r="A2625" s="645">
        <v>2149167017</v>
      </c>
      <c r="B2625" s="635" t="s">
        <v>763</v>
      </c>
      <c r="C2625" s="635" t="s">
        <v>1774</v>
      </c>
      <c r="D2625" s="635"/>
      <c r="E2625" s="635" t="s">
        <v>1494</v>
      </c>
      <c r="F2625" s="465" t="s">
        <v>96</v>
      </c>
      <c r="G2625" s="466">
        <v>0</v>
      </c>
      <c r="H2625" s="466">
        <v>9.454</v>
      </c>
      <c r="I2625" s="467">
        <v>0</v>
      </c>
      <c r="J2625" s="468">
        <v>9.454</v>
      </c>
    </row>
    <row r="2626" spans="1:10" ht="12.75" outlineLevel="2">
      <c r="A2626" s="645">
        <v>2149167017</v>
      </c>
      <c r="B2626" s="635" t="s">
        <v>763</v>
      </c>
      <c r="C2626" s="635" t="s">
        <v>1774</v>
      </c>
      <c r="D2626" s="635"/>
      <c r="E2626" s="635" t="s">
        <v>1494</v>
      </c>
      <c r="F2626" s="465" t="s">
        <v>333</v>
      </c>
      <c r="G2626" s="466">
        <v>0</v>
      </c>
      <c r="H2626" s="466">
        <v>0</v>
      </c>
      <c r="I2626" s="467">
        <v>9.743</v>
      </c>
      <c r="J2626" s="468">
        <v>0</v>
      </c>
    </row>
    <row r="2627" spans="1:10" ht="12.75" outlineLevel="2">
      <c r="A2627" s="645">
        <v>2149168001</v>
      </c>
      <c r="B2627" s="635" t="s">
        <v>764</v>
      </c>
      <c r="C2627" s="635" t="s">
        <v>1774</v>
      </c>
      <c r="D2627" s="635"/>
      <c r="E2627" s="635" t="s">
        <v>1494</v>
      </c>
      <c r="F2627" s="465" t="s">
        <v>1845</v>
      </c>
      <c r="G2627" s="466">
        <v>1.4</v>
      </c>
      <c r="H2627" s="466">
        <v>1.259</v>
      </c>
      <c r="I2627" s="467">
        <v>1.233</v>
      </c>
      <c r="J2627" s="468">
        <v>0.026</v>
      </c>
    </row>
    <row r="2628" spans="1:10" ht="12.75" outlineLevel="2">
      <c r="A2628" s="645">
        <v>2149168002</v>
      </c>
      <c r="B2628" s="635" t="s">
        <v>765</v>
      </c>
      <c r="C2628" s="635" t="s">
        <v>1774</v>
      </c>
      <c r="D2628" s="635"/>
      <c r="E2628" s="635" t="s">
        <v>1494</v>
      </c>
      <c r="F2628" s="465" t="s">
        <v>1845</v>
      </c>
      <c r="G2628" s="466">
        <v>9.5</v>
      </c>
      <c r="H2628" s="466">
        <v>4.829</v>
      </c>
      <c r="I2628" s="467">
        <v>4.828</v>
      </c>
      <c r="J2628" s="468">
        <v>0.001</v>
      </c>
    </row>
    <row r="2629" spans="1:10" ht="12.75" outlineLevel="2">
      <c r="A2629" s="645">
        <v>2149168003</v>
      </c>
      <c r="B2629" s="635" t="s">
        <v>766</v>
      </c>
      <c r="C2629" s="635" t="s">
        <v>1774</v>
      </c>
      <c r="D2629" s="635"/>
      <c r="E2629" s="635" t="s">
        <v>1494</v>
      </c>
      <c r="F2629" s="465" t="s">
        <v>1845</v>
      </c>
      <c r="G2629" s="466">
        <v>10.4</v>
      </c>
      <c r="H2629" s="466">
        <v>4.515</v>
      </c>
      <c r="I2629" s="467">
        <v>4.513</v>
      </c>
      <c r="J2629" s="468">
        <v>0.002</v>
      </c>
    </row>
    <row r="2630" spans="1:10" ht="12.75" outlineLevel="2">
      <c r="A2630" s="645">
        <v>2149168004</v>
      </c>
      <c r="B2630" s="635" t="s">
        <v>767</v>
      </c>
      <c r="C2630" s="635" t="s">
        <v>1774</v>
      </c>
      <c r="D2630" s="635"/>
      <c r="E2630" s="635" t="s">
        <v>1494</v>
      </c>
      <c r="F2630" s="465" t="s">
        <v>1845</v>
      </c>
      <c r="G2630" s="466">
        <v>3.8</v>
      </c>
      <c r="H2630" s="466">
        <v>1.544</v>
      </c>
      <c r="I2630" s="467">
        <v>1.544</v>
      </c>
      <c r="J2630" s="468">
        <v>0</v>
      </c>
    </row>
    <row r="2631" spans="1:10" ht="12.75" outlineLevel="2">
      <c r="A2631" s="645">
        <v>2149168005</v>
      </c>
      <c r="B2631" s="635" t="s">
        <v>768</v>
      </c>
      <c r="C2631" s="635" t="s">
        <v>1774</v>
      </c>
      <c r="D2631" s="635"/>
      <c r="E2631" s="635" t="s">
        <v>1494</v>
      </c>
      <c r="F2631" s="465" t="s">
        <v>1845</v>
      </c>
      <c r="G2631" s="466">
        <v>0.6</v>
      </c>
      <c r="H2631" s="466">
        <v>0.012</v>
      </c>
      <c r="I2631" s="467">
        <v>0.011</v>
      </c>
      <c r="J2631" s="468">
        <v>0.001</v>
      </c>
    </row>
    <row r="2632" spans="1:10" ht="12.75" outlineLevel="2">
      <c r="A2632" s="645">
        <v>2149168006</v>
      </c>
      <c r="B2632" s="635" t="s">
        <v>769</v>
      </c>
      <c r="C2632" s="635" t="s">
        <v>1774</v>
      </c>
      <c r="D2632" s="635"/>
      <c r="E2632" s="635" t="s">
        <v>1494</v>
      </c>
      <c r="F2632" s="465" t="s">
        <v>1845</v>
      </c>
      <c r="G2632" s="466">
        <v>18.02</v>
      </c>
      <c r="H2632" s="466">
        <v>17.237</v>
      </c>
      <c r="I2632" s="467">
        <v>17.231</v>
      </c>
      <c r="J2632" s="468">
        <v>0.006</v>
      </c>
    </row>
    <row r="2633" spans="1:10" ht="12.75" outlineLevel="2">
      <c r="A2633" s="645">
        <v>2149168007</v>
      </c>
      <c r="B2633" s="635" t="s">
        <v>770</v>
      </c>
      <c r="C2633" s="635" t="s">
        <v>1774</v>
      </c>
      <c r="D2633" s="635"/>
      <c r="E2633" s="635" t="s">
        <v>1494</v>
      </c>
      <c r="F2633" s="465" t="s">
        <v>1845</v>
      </c>
      <c r="G2633" s="466">
        <v>21.38</v>
      </c>
      <c r="H2633" s="466">
        <v>3.68</v>
      </c>
      <c r="I2633" s="467">
        <v>0</v>
      </c>
      <c r="J2633" s="468">
        <v>3.68</v>
      </c>
    </row>
    <row r="2634" spans="1:10" ht="12.75" outlineLevel="2">
      <c r="A2634" s="645">
        <v>2149168007</v>
      </c>
      <c r="B2634" s="635" t="s">
        <v>770</v>
      </c>
      <c r="C2634" s="635" t="s">
        <v>1774</v>
      </c>
      <c r="D2634" s="635"/>
      <c r="E2634" s="635" t="s">
        <v>1494</v>
      </c>
      <c r="F2634" s="465" t="s">
        <v>96</v>
      </c>
      <c r="G2634" s="466">
        <v>144.3</v>
      </c>
      <c r="H2634" s="466">
        <v>0</v>
      </c>
      <c r="I2634" s="467">
        <v>0</v>
      </c>
      <c r="J2634" s="468">
        <v>0</v>
      </c>
    </row>
    <row r="2635" spans="1:10" ht="12.75" outlineLevel="2">
      <c r="A2635" s="645">
        <v>2149168008</v>
      </c>
      <c r="B2635" s="635" t="s">
        <v>771</v>
      </c>
      <c r="C2635" s="635" t="s">
        <v>1774</v>
      </c>
      <c r="D2635" s="635"/>
      <c r="E2635" s="635" t="s">
        <v>1494</v>
      </c>
      <c r="F2635" s="465" t="s">
        <v>1845</v>
      </c>
      <c r="G2635" s="466">
        <v>5.227</v>
      </c>
      <c r="H2635" s="466">
        <v>5.049</v>
      </c>
      <c r="I2635" s="467">
        <v>5.048</v>
      </c>
      <c r="J2635" s="468">
        <v>0.001</v>
      </c>
    </row>
    <row r="2636" spans="1:10" ht="12.75" outlineLevel="2">
      <c r="A2636" s="645">
        <v>2149168009</v>
      </c>
      <c r="B2636" s="635" t="s">
        <v>772</v>
      </c>
      <c r="C2636" s="635" t="s">
        <v>1774</v>
      </c>
      <c r="D2636" s="635"/>
      <c r="E2636" s="635" t="s">
        <v>1494</v>
      </c>
      <c r="F2636" s="465" t="s">
        <v>1845</v>
      </c>
      <c r="G2636" s="466">
        <v>5.887</v>
      </c>
      <c r="H2636" s="466">
        <v>5.452</v>
      </c>
      <c r="I2636" s="467">
        <v>5.347</v>
      </c>
      <c r="J2636" s="468">
        <v>0.105</v>
      </c>
    </row>
    <row r="2637" spans="1:10" ht="12.75" outlineLevel="2">
      <c r="A2637" s="645">
        <v>2149168011</v>
      </c>
      <c r="B2637" s="635" t="s">
        <v>773</v>
      </c>
      <c r="C2637" s="635" t="s">
        <v>1774</v>
      </c>
      <c r="D2637" s="635"/>
      <c r="E2637" s="635" t="s">
        <v>1494</v>
      </c>
      <c r="F2637" s="465" t="s">
        <v>1845</v>
      </c>
      <c r="G2637" s="466">
        <v>11.5</v>
      </c>
      <c r="H2637" s="466">
        <v>6.661</v>
      </c>
      <c r="I2637" s="467">
        <v>6.17</v>
      </c>
      <c r="J2637" s="468">
        <v>0.491</v>
      </c>
    </row>
    <row r="2638" spans="1:10" ht="12.75" outlineLevel="2">
      <c r="A2638" s="645">
        <v>2149168011</v>
      </c>
      <c r="B2638" s="635" t="s">
        <v>773</v>
      </c>
      <c r="C2638" s="635" t="s">
        <v>1774</v>
      </c>
      <c r="D2638" s="635"/>
      <c r="E2638" s="635" t="s">
        <v>1494</v>
      </c>
      <c r="F2638" s="465" t="s">
        <v>96</v>
      </c>
      <c r="G2638" s="466">
        <v>46</v>
      </c>
      <c r="H2638" s="466">
        <v>13.075</v>
      </c>
      <c r="I2638" s="467">
        <v>2.862</v>
      </c>
      <c r="J2638" s="468">
        <v>10.213</v>
      </c>
    </row>
    <row r="2639" spans="1:10" ht="12.75" outlineLevel="2">
      <c r="A2639" s="645">
        <v>2149168012</v>
      </c>
      <c r="B2639" s="635" t="s">
        <v>774</v>
      </c>
      <c r="C2639" s="635" t="s">
        <v>1774</v>
      </c>
      <c r="D2639" s="635"/>
      <c r="E2639" s="635" t="s">
        <v>1494</v>
      </c>
      <c r="F2639" s="465" t="s">
        <v>1845</v>
      </c>
      <c r="G2639" s="466">
        <v>10</v>
      </c>
      <c r="H2639" s="466">
        <v>0</v>
      </c>
      <c r="I2639" s="467">
        <v>0</v>
      </c>
      <c r="J2639" s="468">
        <v>0</v>
      </c>
    </row>
    <row r="2640" spans="1:10" ht="12.75" outlineLevel="2">
      <c r="A2640" s="645">
        <v>2149168012</v>
      </c>
      <c r="B2640" s="635" t="s">
        <v>774</v>
      </c>
      <c r="C2640" s="635" t="s">
        <v>1774</v>
      </c>
      <c r="D2640" s="635"/>
      <c r="E2640" s="635" t="s">
        <v>1494</v>
      </c>
      <c r="F2640" s="465" t="s">
        <v>96</v>
      </c>
      <c r="G2640" s="466">
        <v>10</v>
      </c>
      <c r="H2640" s="466">
        <v>0</v>
      </c>
      <c r="I2640" s="467">
        <v>0</v>
      </c>
      <c r="J2640" s="468">
        <v>0</v>
      </c>
    </row>
    <row r="2641" spans="1:10" ht="12.75" outlineLevel="2">
      <c r="A2641" s="645">
        <v>2149168013</v>
      </c>
      <c r="B2641" s="635" t="s">
        <v>1409</v>
      </c>
      <c r="C2641" s="635" t="s">
        <v>1774</v>
      </c>
      <c r="D2641" s="635"/>
      <c r="E2641" s="635" t="s">
        <v>1533</v>
      </c>
      <c r="F2641" s="465" t="s">
        <v>1845</v>
      </c>
      <c r="G2641" s="466">
        <v>4</v>
      </c>
      <c r="H2641" s="466">
        <v>0</v>
      </c>
      <c r="I2641" s="467">
        <v>0</v>
      </c>
      <c r="J2641" s="468">
        <v>0</v>
      </c>
    </row>
    <row r="2642" spans="1:10" ht="12.75" outlineLevel="2">
      <c r="A2642" s="645">
        <v>2149168013</v>
      </c>
      <c r="B2642" s="635" t="s">
        <v>1409</v>
      </c>
      <c r="C2642" s="635" t="s">
        <v>1774</v>
      </c>
      <c r="D2642" s="635"/>
      <c r="E2642" s="635" t="s">
        <v>1533</v>
      </c>
      <c r="F2642" s="465" t="s">
        <v>96</v>
      </c>
      <c r="G2642" s="466">
        <v>7</v>
      </c>
      <c r="H2642" s="466">
        <v>0</v>
      </c>
      <c r="I2642" s="467">
        <v>0</v>
      </c>
      <c r="J2642" s="468">
        <v>0</v>
      </c>
    </row>
    <row r="2643" spans="1:10" ht="12.75" outlineLevel="2">
      <c r="A2643" s="645">
        <v>2149168014</v>
      </c>
      <c r="B2643" s="635" t="s">
        <v>1410</v>
      </c>
      <c r="C2643" s="635" t="s">
        <v>1774</v>
      </c>
      <c r="D2643" s="635"/>
      <c r="E2643" s="635" t="s">
        <v>1494</v>
      </c>
      <c r="F2643" s="465" t="s">
        <v>1845</v>
      </c>
      <c r="G2643" s="466">
        <v>8</v>
      </c>
      <c r="H2643" s="466">
        <v>0</v>
      </c>
      <c r="I2643" s="467">
        <v>0</v>
      </c>
      <c r="J2643" s="468">
        <v>0</v>
      </c>
    </row>
    <row r="2644" spans="1:10" ht="12.75" outlineLevel="2">
      <c r="A2644" s="645">
        <v>2149168014</v>
      </c>
      <c r="B2644" s="635" t="s">
        <v>1410</v>
      </c>
      <c r="C2644" s="635" t="s">
        <v>1774</v>
      </c>
      <c r="D2644" s="635"/>
      <c r="E2644" s="635" t="s">
        <v>1494</v>
      </c>
      <c r="F2644" s="465" t="s">
        <v>96</v>
      </c>
      <c r="G2644" s="466">
        <v>10</v>
      </c>
      <c r="H2644" s="466">
        <v>0</v>
      </c>
      <c r="I2644" s="467">
        <v>0</v>
      </c>
      <c r="J2644" s="468">
        <v>0</v>
      </c>
    </row>
    <row r="2645" spans="1:10" ht="12.75" outlineLevel="2">
      <c r="A2645" s="645">
        <v>2149168015</v>
      </c>
      <c r="B2645" s="635" t="s">
        <v>1411</v>
      </c>
      <c r="C2645" s="635" t="s">
        <v>1774</v>
      </c>
      <c r="D2645" s="635"/>
      <c r="E2645" s="635" t="s">
        <v>1494</v>
      </c>
      <c r="F2645" s="465" t="s">
        <v>1845</v>
      </c>
      <c r="G2645" s="466">
        <v>13.5</v>
      </c>
      <c r="H2645" s="466">
        <v>26.601</v>
      </c>
      <c r="I2645" s="467">
        <v>26.038</v>
      </c>
      <c r="J2645" s="468">
        <v>0.563</v>
      </c>
    </row>
    <row r="2646" spans="1:10" ht="12.75" outlineLevel="2">
      <c r="A2646" s="645">
        <v>2149168015</v>
      </c>
      <c r="B2646" s="635" t="s">
        <v>1411</v>
      </c>
      <c r="C2646" s="635" t="s">
        <v>1774</v>
      </c>
      <c r="D2646" s="635"/>
      <c r="E2646" s="635" t="s">
        <v>1494</v>
      </c>
      <c r="F2646" s="465" t="s">
        <v>96</v>
      </c>
      <c r="G2646" s="466">
        <v>29.5</v>
      </c>
      <c r="H2646" s="466">
        <v>31.399</v>
      </c>
      <c r="I2646" s="467">
        <v>1.555</v>
      </c>
      <c r="J2646" s="468">
        <v>29.844</v>
      </c>
    </row>
    <row r="2647" spans="1:10" ht="12.75" outlineLevel="2">
      <c r="A2647" s="645">
        <v>2149168016</v>
      </c>
      <c r="B2647" s="635" t="s">
        <v>1412</v>
      </c>
      <c r="C2647" s="635" t="s">
        <v>1774</v>
      </c>
      <c r="D2647" s="635"/>
      <c r="E2647" s="635" t="s">
        <v>1494</v>
      </c>
      <c r="F2647" s="465" t="s">
        <v>1845</v>
      </c>
      <c r="G2647" s="466">
        <v>0</v>
      </c>
      <c r="H2647" s="466">
        <v>0.09</v>
      </c>
      <c r="I2647" s="467">
        <v>0</v>
      </c>
      <c r="J2647" s="468">
        <v>0.09</v>
      </c>
    </row>
    <row r="2648" spans="1:10" ht="12.75" outlineLevel="2">
      <c r="A2648" s="645">
        <v>2149175001</v>
      </c>
      <c r="B2648" s="635" t="s">
        <v>1413</v>
      </c>
      <c r="C2648" s="635" t="s">
        <v>1774</v>
      </c>
      <c r="D2648" s="635"/>
      <c r="E2648" s="635" t="s">
        <v>1494</v>
      </c>
      <c r="F2648" s="465" t="s">
        <v>1845</v>
      </c>
      <c r="G2648" s="466">
        <v>113.489</v>
      </c>
      <c r="H2648" s="466">
        <v>113.489</v>
      </c>
      <c r="I2648" s="467">
        <v>113.488</v>
      </c>
      <c r="J2648" s="468">
        <v>0.001</v>
      </c>
    </row>
    <row r="2649" spans="1:10" ht="12.75" outlineLevel="2">
      <c r="A2649" s="645">
        <v>2149177001</v>
      </c>
      <c r="B2649" s="635" t="s">
        <v>1414</v>
      </c>
      <c r="C2649" s="635" t="s">
        <v>1774</v>
      </c>
      <c r="D2649" s="635"/>
      <c r="E2649" s="635" t="s">
        <v>1494</v>
      </c>
      <c r="F2649" s="465" t="s">
        <v>1845</v>
      </c>
      <c r="G2649" s="466">
        <v>0</v>
      </c>
      <c r="H2649" s="466">
        <v>2.238</v>
      </c>
      <c r="I2649" s="467">
        <v>2.237</v>
      </c>
      <c r="J2649" s="468">
        <v>0.001</v>
      </c>
    </row>
    <row r="2650" spans="1:10" ht="12.75" outlineLevel="2">
      <c r="A2650" s="645">
        <v>2149178001</v>
      </c>
      <c r="B2650" s="635" t="s">
        <v>1414</v>
      </c>
      <c r="C2650" s="635" t="s">
        <v>1774</v>
      </c>
      <c r="D2650" s="635"/>
      <c r="E2650" s="635" t="s">
        <v>1494</v>
      </c>
      <c r="F2650" s="465" t="s">
        <v>1845</v>
      </c>
      <c r="G2650" s="466">
        <v>1.45</v>
      </c>
      <c r="H2650" s="466">
        <v>0.786</v>
      </c>
      <c r="I2650" s="467">
        <v>0.762</v>
      </c>
      <c r="J2650" s="468">
        <v>0.024</v>
      </c>
    </row>
    <row r="2651" spans="1:10" ht="12.75" outlineLevel="2">
      <c r="A2651" s="645">
        <v>2149178002</v>
      </c>
      <c r="B2651" s="635" t="s">
        <v>1415</v>
      </c>
      <c r="C2651" s="635" t="s">
        <v>1774</v>
      </c>
      <c r="D2651" s="635"/>
      <c r="E2651" s="635" t="s">
        <v>1494</v>
      </c>
      <c r="F2651" s="465" t="s">
        <v>1845</v>
      </c>
      <c r="G2651" s="466">
        <v>0</v>
      </c>
      <c r="H2651" s="466">
        <v>0.18</v>
      </c>
      <c r="I2651" s="467">
        <v>0.172</v>
      </c>
      <c r="J2651" s="468">
        <v>0.008</v>
      </c>
    </row>
    <row r="2652" spans="1:10" ht="12.75" outlineLevel="2">
      <c r="A2652" s="645">
        <v>2149178002</v>
      </c>
      <c r="B2652" s="635" t="s">
        <v>1415</v>
      </c>
      <c r="C2652" s="635" t="s">
        <v>1774</v>
      </c>
      <c r="D2652" s="635"/>
      <c r="E2652" s="635" t="s">
        <v>1494</v>
      </c>
      <c r="F2652" s="465" t="s">
        <v>96</v>
      </c>
      <c r="G2652" s="466">
        <v>0</v>
      </c>
      <c r="H2652" s="466">
        <v>3.03</v>
      </c>
      <c r="I2652" s="467">
        <v>2.126</v>
      </c>
      <c r="J2652" s="468">
        <v>0.904</v>
      </c>
    </row>
    <row r="2653" spans="1:10" ht="12.75" outlineLevel="2">
      <c r="A2653" s="645">
        <v>2149186005</v>
      </c>
      <c r="B2653" s="635" t="s">
        <v>1416</v>
      </c>
      <c r="C2653" s="635" t="s">
        <v>1774</v>
      </c>
      <c r="D2653" s="635"/>
      <c r="E2653" s="635" t="s">
        <v>1494</v>
      </c>
      <c r="F2653" s="465" t="s">
        <v>333</v>
      </c>
      <c r="G2653" s="466">
        <v>0</v>
      </c>
      <c r="H2653" s="466">
        <v>0</v>
      </c>
      <c r="I2653" s="467">
        <v>0.388</v>
      </c>
      <c r="J2653" s="468">
        <v>0</v>
      </c>
    </row>
    <row r="2654" spans="1:10" ht="12.75" outlineLevel="2">
      <c r="A2654" s="645">
        <v>2149187001</v>
      </c>
      <c r="B2654" s="635" t="s">
        <v>1417</v>
      </c>
      <c r="C2654" s="635" t="s">
        <v>1774</v>
      </c>
      <c r="D2654" s="635"/>
      <c r="E2654" s="635" t="s">
        <v>1494</v>
      </c>
      <c r="F2654" s="465" t="s">
        <v>1845</v>
      </c>
      <c r="G2654" s="466">
        <v>0</v>
      </c>
      <c r="H2654" s="466">
        <v>39.3</v>
      </c>
      <c r="I2654" s="467">
        <v>39.3</v>
      </c>
      <c r="J2654" s="468">
        <v>0</v>
      </c>
    </row>
    <row r="2655" spans="1:10" ht="13.5" outlineLevel="2" thickBot="1">
      <c r="A2655" s="650">
        <v>2149187001</v>
      </c>
      <c r="B2655" s="640" t="s">
        <v>1417</v>
      </c>
      <c r="C2655" s="640" t="s">
        <v>1774</v>
      </c>
      <c r="D2655" s="640"/>
      <c r="E2655" s="640" t="s">
        <v>1494</v>
      </c>
      <c r="F2655" s="480" t="s">
        <v>332</v>
      </c>
      <c r="G2655" s="481">
        <v>0</v>
      </c>
      <c r="H2655" s="481">
        <v>0</v>
      </c>
      <c r="I2655" s="482">
        <v>19.53</v>
      </c>
      <c r="J2655" s="483">
        <v>0</v>
      </c>
    </row>
    <row r="2656" spans="1:10" s="149" customFormat="1" ht="13.5" outlineLevel="1" thickBot="1">
      <c r="A2656" s="651" t="s">
        <v>1418</v>
      </c>
      <c r="B2656" s="457"/>
      <c r="C2656" s="637"/>
      <c r="D2656" s="637"/>
      <c r="E2656" s="637"/>
      <c r="F2656" s="460"/>
      <c r="G2656" s="459">
        <f>SUBTOTAL(9,G2520:G2655)</f>
        <v>1553.5970000000002</v>
      </c>
      <c r="H2656" s="459">
        <f>SUBTOTAL(9,H2520:H2655)</f>
        <v>1273.4689999999998</v>
      </c>
      <c r="I2656" s="473">
        <f>SUBTOTAL(9,I2520:I2655)</f>
        <v>1462.6220000000008</v>
      </c>
      <c r="J2656" s="474">
        <f>SUBTOTAL(9,J2520:J2655)</f>
        <v>96.062</v>
      </c>
    </row>
    <row r="2657" spans="1:10" s="149" customFormat="1" ht="13.5" thickBot="1">
      <c r="A2657" s="651" t="s">
        <v>1419</v>
      </c>
      <c r="B2657" s="460"/>
      <c r="C2657" s="641"/>
      <c r="D2657" s="641"/>
      <c r="E2657" s="641"/>
      <c r="F2657" s="460"/>
      <c r="G2657" s="459">
        <f>SUBTOTAL(9,G5:G2655)</f>
        <v>7088.333000000002</v>
      </c>
      <c r="H2657" s="459">
        <f>SUBTOTAL(9,H5:H2655)</f>
        <v>8720.930000000018</v>
      </c>
      <c r="I2657" s="473">
        <f>SUBTOTAL(9,I5:I2655)</f>
        <v>8062.340000000017</v>
      </c>
      <c r="J2657" s="474">
        <f>SUBTOTAL(9,J5:J2655)</f>
        <v>1358.2769999999884</v>
      </c>
    </row>
    <row r="2660" spans="1:8" ht="12.75">
      <c r="A2660" s="618" t="s">
        <v>686</v>
      </c>
      <c r="C2660" s="618" t="s">
        <v>687</v>
      </c>
      <c r="H2660" s="456" t="s">
        <v>685</v>
      </c>
    </row>
  </sheetData>
  <mergeCells count="2">
    <mergeCell ref="A1:E1"/>
    <mergeCell ref="A2:I2"/>
  </mergeCells>
  <printOptions horizontalCentered="1"/>
  <pageMargins left="0.3937007874015748" right="0.1968503937007874" top="0.984251968503937" bottom="0.7874015748031497" header="0.7086614173228347" footer="0.11811023622047245"/>
  <pageSetup fitToHeight="52" horizontalDpi="600" verticalDpi="600" orientation="landscape" paperSize="9" scale="70" r:id="rId1"/>
  <headerFooter alignWithMargins="0">
    <oddHeader>&amp;L&amp;"Arial CE,Tučné"&amp;12Kapitola: 314 - Ministerstvo vnitra&amp;R&amp;"Arial CE,Tučné"&amp;12Tabulka č. 12/2&amp;"Arial CE,Obyčejné"
&amp;11List: &amp;P/&amp;N</oddHeader>
    <oddFooter>&amp;C&amp;11&amp;P+122&amp;12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6"/>
  <sheetViews>
    <sheetView workbookViewId="0" topLeftCell="A1">
      <selection activeCell="B1" sqref="A1:IV1"/>
    </sheetView>
  </sheetViews>
  <sheetFormatPr defaultColWidth="9.00390625" defaultRowHeight="12.75"/>
  <cols>
    <col min="1" max="1" width="45.125" style="142" customWidth="1"/>
    <col min="2" max="2" width="17.625" style="143" customWidth="1"/>
    <col min="3" max="3" width="17.625" style="142" customWidth="1"/>
    <col min="4" max="4" width="9.00390625" style="142" customWidth="1"/>
    <col min="5" max="5" width="17.625" style="142" customWidth="1"/>
    <col min="6" max="6" width="9.00390625" style="142" customWidth="1"/>
    <col min="7" max="7" width="17.625" style="142" customWidth="1"/>
    <col min="8" max="8" width="9.00390625" style="142" customWidth="1"/>
    <col min="9" max="9" width="17.625" style="142" customWidth="1"/>
    <col min="10" max="10" width="9.00390625" style="142" customWidth="1"/>
    <col min="11" max="16384" width="9.125" style="142" customWidth="1"/>
  </cols>
  <sheetData>
    <row r="2" spans="1:10" ht="15.75">
      <c r="A2" s="147" t="s">
        <v>1543</v>
      </c>
      <c r="B2" s="141"/>
      <c r="C2" s="240"/>
      <c r="D2" s="240"/>
      <c r="E2" s="240"/>
      <c r="F2" s="141"/>
      <c r="I2" s="1260" t="s">
        <v>138</v>
      </c>
      <c r="J2" s="1260"/>
    </row>
    <row r="4" spans="1:10" ht="18">
      <c r="A4" s="1262" t="s">
        <v>1574</v>
      </c>
      <c r="B4" s="1262"/>
      <c r="C4" s="1262"/>
      <c r="D4" s="1262"/>
      <c r="E4" s="1262"/>
      <c r="F4" s="1262"/>
      <c r="G4" s="1262"/>
      <c r="H4" s="1262"/>
      <c r="I4" s="1262"/>
      <c r="J4" s="1262"/>
    </row>
    <row r="5" spans="1:10" ht="18.75" thickBot="1">
      <c r="A5" s="241"/>
      <c r="J5" s="242" t="s">
        <v>1545</v>
      </c>
    </row>
    <row r="6" spans="1:10" s="141" customFormat="1" ht="19.5" customHeight="1" thickBot="1">
      <c r="A6" s="654"/>
      <c r="B6" s="655" t="s">
        <v>1575</v>
      </c>
      <c r="C6" s="656"/>
      <c r="D6" s="656"/>
      <c r="E6" s="656" t="s">
        <v>1576</v>
      </c>
      <c r="F6" s="656"/>
      <c r="G6" s="656"/>
      <c r="H6" s="656"/>
      <c r="I6" s="656"/>
      <c r="J6" s="657"/>
    </row>
    <row r="7" spans="1:10" s="141" customFormat="1" ht="16.5" thickBot="1">
      <c r="A7" s="658"/>
      <c r="B7" s="659" t="s">
        <v>1577</v>
      </c>
      <c r="C7" s="660" t="s">
        <v>1578</v>
      </c>
      <c r="D7" s="661"/>
      <c r="E7" s="660" t="s">
        <v>1579</v>
      </c>
      <c r="F7" s="661"/>
      <c r="G7" s="660" t="s">
        <v>1580</v>
      </c>
      <c r="H7" s="661"/>
      <c r="I7" s="660" t="s">
        <v>1581</v>
      </c>
      <c r="J7" s="661"/>
    </row>
    <row r="8" spans="1:10" s="141" customFormat="1" ht="21" customHeight="1" thickBot="1">
      <c r="A8" s="662" t="s">
        <v>1582</v>
      </c>
      <c r="B8" s="663"/>
      <c r="C8" s="664" t="s">
        <v>1557</v>
      </c>
      <c r="D8" s="664" t="s">
        <v>1583</v>
      </c>
      <c r="E8" s="664" t="s">
        <v>1557</v>
      </c>
      <c r="F8" s="664" t="s">
        <v>1584</v>
      </c>
      <c r="G8" s="665" t="s">
        <v>1557</v>
      </c>
      <c r="H8" s="664" t="s">
        <v>1584</v>
      </c>
      <c r="I8" s="665" t="s">
        <v>1557</v>
      </c>
      <c r="J8" s="664" t="s">
        <v>1584</v>
      </c>
    </row>
    <row r="9" spans="1:10" ht="13.5" hidden="1" thickBot="1">
      <c r="A9" s="243" t="s">
        <v>1585</v>
      </c>
      <c r="B9" s="244">
        <v>35082508.563</v>
      </c>
      <c r="C9" s="245">
        <v>5782682.315</v>
      </c>
      <c r="D9" s="246">
        <f aca="true" t="shared" si="0" ref="D9:D42">C9*100/B9</f>
        <v>16.48309243512519</v>
      </c>
      <c r="E9" s="247">
        <f>13409413.991-C9</f>
        <v>7626731.676</v>
      </c>
      <c r="F9" s="248">
        <f aca="true" t="shared" si="1" ref="F9:F42">E9*100/B9</f>
        <v>21.739413708983122</v>
      </c>
      <c r="G9" s="247">
        <f>21257043.165-E9-C9</f>
        <v>7847629.174</v>
      </c>
      <c r="H9" s="248">
        <f aca="true" t="shared" si="2" ref="H9:H42">G9*100/B9</f>
        <v>22.36906508526176</v>
      </c>
      <c r="I9" s="247">
        <f>B9-C9-E9-G9</f>
        <v>13825465.398000002</v>
      </c>
      <c r="J9" s="248">
        <f aca="true" t="shared" si="3" ref="J9:J45">I9*100/B9</f>
        <v>39.40842877062993</v>
      </c>
    </row>
    <row r="10" spans="1:10" ht="13.5" hidden="1" thickBot="1">
      <c r="A10" s="249" t="s">
        <v>1586</v>
      </c>
      <c r="B10" s="250">
        <v>679032.061</v>
      </c>
      <c r="C10" s="251">
        <v>115108.316</v>
      </c>
      <c r="D10" s="252">
        <f t="shared" si="0"/>
        <v>16.95182342796624</v>
      </c>
      <c r="E10" s="253">
        <f>252977.052-C10</f>
        <v>137868.73599999998</v>
      </c>
      <c r="F10" s="254">
        <f t="shared" si="1"/>
        <v>20.303715232085334</v>
      </c>
      <c r="G10" s="253">
        <f>394318.411-E10-C10</f>
        <v>141341.35900000005</v>
      </c>
      <c r="H10" s="254">
        <f t="shared" si="2"/>
        <v>20.81512304321078</v>
      </c>
      <c r="I10" s="253">
        <f>B10-C10-E10-G10</f>
        <v>284713.64999999997</v>
      </c>
      <c r="J10" s="254">
        <f t="shared" si="3"/>
        <v>41.929338296737654</v>
      </c>
    </row>
    <row r="11" spans="1:10" s="670" customFormat="1" ht="16.5" customHeight="1" thickBot="1">
      <c r="A11" s="255" t="s">
        <v>1585</v>
      </c>
      <c r="B11" s="666">
        <f>SUM(B9:B10)</f>
        <v>35761540.624</v>
      </c>
      <c r="C11" s="667">
        <f>SUM(C9:C10)</f>
        <v>5897790.631</v>
      </c>
      <c r="D11" s="668">
        <f t="shared" si="0"/>
        <v>16.491992593411712</v>
      </c>
      <c r="E11" s="666">
        <f>SUM(E9:E10)</f>
        <v>7764600.412</v>
      </c>
      <c r="F11" s="669">
        <f t="shared" si="1"/>
        <v>21.71215299038063</v>
      </c>
      <c r="G11" s="666">
        <f>SUM(G9:G10)</f>
        <v>7988970.533</v>
      </c>
      <c r="H11" s="669">
        <f t="shared" si="2"/>
        <v>22.33955918453498</v>
      </c>
      <c r="I11" s="666">
        <f>SUM(I9:I10)</f>
        <v>14110179.048000002</v>
      </c>
      <c r="J11" s="669">
        <f t="shared" si="3"/>
        <v>39.456295231672684</v>
      </c>
    </row>
    <row r="12" spans="1:10" ht="12.75">
      <c r="A12" s="256" t="s">
        <v>139</v>
      </c>
      <c r="B12" s="257">
        <f>11199147.219+1357.99</f>
        <v>11200505.209</v>
      </c>
      <c r="C12" s="258">
        <f>2068155.522+1357.99</f>
        <v>2069513.512</v>
      </c>
      <c r="D12" s="259">
        <f t="shared" si="0"/>
        <v>18.476965756304217</v>
      </c>
      <c r="E12" s="260">
        <f>4824065.072+1357.99-C12</f>
        <v>2755909.55</v>
      </c>
      <c r="F12" s="261">
        <f t="shared" si="1"/>
        <v>24.605225376668987</v>
      </c>
      <c r="G12" s="260">
        <f>7583709.128+1357.99-E12-C12</f>
        <v>2759644.056</v>
      </c>
      <c r="H12" s="261">
        <f t="shared" si="2"/>
        <v>24.63856767623775</v>
      </c>
      <c r="I12" s="260">
        <f>B12-C12-E12-G12</f>
        <v>3615438.091000001</v>
      </c>
      <c r="J12" s="261">
        <f t="shared" si="3"/>
        <v>32.279241190789044</v>
      </c>
    </row>
    <row r="13" spans="1:10" ht="12.75" hidden="1">
      <c r="A13" s="249" t="s">
        <v>1587</v>
      </c>
      <c r="B13" s="250">
        <f>1357.99-1357.99</f>
        <v>0</v>
      </c>
      <c r="C13" s="251">
        <f>1357.99-1357.99</f>
        <v>0</v>
      </c>
      <c r="D13" s="259" t="e">
        <f t="shared" si="0"/>
        <v>#DIV/0!</v>
      </c>
      <c r="E13" s="253">
        <v>0</v>
      </c>
      <c r="F13" s="261" t="e">
        <f t="shared" si="1"/>
        <v>#DIV/0!</v>
      </c>
      <c r="G13" s="253">
        <v>0</v>
      </c>
      <c r="H13" s="261" t="e">
        <f t="shared" si="2"/>
        <v>#DIV/0!</v>
      </c>
      <c r="I13" s="260">
        <f>B13-C13-E13-G13</f>
        <v>0</v>
      </c>
      <c r="J13" s="261" t="e">
        <f t="shared" si="3"/>
        <v>#DIV/0!</v>
      </c>
    </row>
    <row r="14" spans="1:10" ht="13.5" thickBot="1">
      <c r="A14" s="249" t="s">
        <v>1588</v>
      </c>
      <c r="B14" s="262">
        <v>216220.595</v>
      </c>
      <c r="C14" s="263">
        <v>29290.643</v>
      </c>
      <c r="D14" s="252">
        <f t="shared" si="0"/>
        <v>13.546648042477173</v>
      </c>
      <c r="E14" s="264">
        <f>90239.421-C14</f>
        <v>60948.778000000006</v>
      </c>
      <c r="F14" s="254">
        <f t="shared" si="1"/>
        <v>28.18823896030811</v>
      </c>
      <c r="G14" s="264">
        <f>133982.701-E14-C14</f>
        <v>43743.28</v>
      </c>
      <c r="H14" s="254">
        <f t="shared" si="2"/>
        <v>20.230857287207076</v>
      </c>
      <c r="I14" s="253">
        <f>B14-C14-E14-G14</f>
        <v>82237.89399999999</v>
      </c>
      <c r="J14" s="254">
        <f t="shared" si="3"/>
        <v>38.034255710007635</v>
      </c>
    </row>
    <row r="15" spans="1:10" s="670" customFormat="1" ht="16.5" customHeight="1" thickBot="1">
      <c r="A15" s="255" t="s">
        <v>1589</v>
      </c>
      <c r="B15" s="666">
        <f>SUM(B12:B14)</f>
        <v>11416725.804000001</v>
      </c>
      <c r="C15" s="667">
        <f>SUM(C12:C14)</f>
        <v>2098804.1550000003</v>
      </c>
      <c r="D15" s="668">
        <f t="shared" si="0"/>
        <v>18.383590803806957</v>
      </c>
      <c r="E15" s="671">
        <f>SUM(E12:E14)</f>
        <v>2816858.3279999997</v>
      </c>
      <c r="F15" s="669">
        <f t="shared" si="1"/>
        <v>24.6730838277037</v>
      </c>
      <c r="G15" s="671">
        <f>SUM(G12:G14)</f>
        <v>2803387.3359999997</v>
      </c>
      <c r="H15" s="669">
        <f t="shared" si="2"/>
        <v>24.55509034838864</v>
      </c>
      <c r="I15" s="671">
        <f>SUM(I12:I14)</f>
        <v>3697675.985000001</v>
      </c>
      <c r="J15" s="669">
        <f t="shared" si="3"/>
        <v>32.38823502010069</v>
      </c>
    </row>
    <row r="16" spans="1:10" ht="12.75">
      <c r="A16" s="256" t="s">
        <v>1590</v>
      </c>
      <c r="B16" s="250">
        <v>1427549.548</v>
      </c>
      <c r="C16" s="251">
        <v>111706.132</v>
      </c>
      <c r="D16" s="259">
        <f t="shared" si="0"/>
        <v>7.825026609864472</v>
      </c>
      <c r="E16" s="253">
        <f>409246.585-C16</f>
        <v>297540.45300000004</v>
      </c>
      <c r="F16" s="261">
        <f t="shared" si="1"/>
        <v>20.842740864361232</v>
      </c>
      <c r="G16" s="253">
        <f>632186.213-E16-C16</f>
        <v>222939.62799999997</v>
      </c>
      <c r="H16" s="261">
        <f t="shared" si="2"/>
        <v>15.616945016888478</v>
      </c>
      <c r="I16" s="260">
        <f>B16-C16-E16-G16</f>
        <v>795363.335</v>
      </c>
      <c r="J16" s="261">
        <f t="shared" si="3"/>
        <v>55.71528750888582</v>
      </c>
    </row>
    <row r="17" spans="1:10" ht="12.75">
      <c r="A17" s="265" t="s">
        <v>1591</v>
      </c>
      <c r="B17" s="262">
        <v>7619757.84</v>
      </c>
      <c r="C17" s="263">
        <v>1057084.978</v>
      </c>
      <c r="D17" s="266">
        <f t="shared" si="0"/>
        <v>13.872947148672115</v>
      </c>
      <c r="E17" s="264">
        <f>2627137.958-C17</f>
        <v>1570052.9800000002</v>
      </c>
      <c r="F17" s="248">
        <f t="shared" si="1"/>
        <v>20.605024634221188</v>
      </c>
      <c r="G17" s="264">
        <f>4278358.451-E17-C17</f>
        <v>1651220.493</v>
      </c>
      <c r="H17" s="248">
        <f t="shared" si="2"/>
        <v>21.670248945864138</v>
      </c>
      <c r="I17" s="260">
        <f>B17-C17-E17-G17</f>
        <v>3341399.3889999995</v>
      </c>
      <c r="J17" s="248">
        <f t="shared" si="3"/>
        <v>43.85177927124256</v>
      </c>
    </row>
    <row r="18" spans="1:10" ht="13.5" thickBot="1">
      <c r="A18" s="249" t="s">
        <v>1433</v>
      </c>
      <c r="B18" s="262">
        <v>33794.306</v>
      </c>
      <c r="C18" s="263">
        <v>4628.848</v>
      </c>
      <c r="D18" s="252">
        <f t="shared" si="0"/>
        <v>13.697124006629993</v>
      </c>
      <c r="E18" s="264">
        <f>11089.205-C18</f>
        <v>6460.357</v>
      </c>
      <c r="F18" s="254">
        <f t="shared" si="1"/>
        <v>19.1167026776641</v>
      </c>
      <c r="G18" s="264">
        <f>18626.55-E18-C18</f>
        <v>7537.344999999999</v>
      </c>
      <c r="H18" s="254">
        <f t="shared" si="2"/>
        <v>22.303594575961995</v>
      </c>
      <c r="I18" s="253">
        <f>B18-C18-E18-G18</f>
        <v>15167.756</v>
      </c>
      <c r="J18" s="254">
        <f t="shared" si="3"/>
        <v>44.882578739743906</v>
      </c>
    </row>
    <row r="19" spans="1:10" s="670" customFormat="1" ht="16.5" customHeight="1" thickBot="1">
      <c r="A19" s="255" t="s">
        <v>1592</v>
      </c>
      <c r="B19" s="666">
        <f>SUM(B16:B18)</f>
        <v>9081101.694</v>
      </c>
      <c r="C19" s="667">
        <f>SUM(C16:C18)</f>
        <v>1173419.9579999999</v>
      </c>
      <c r="D19" s="668">
        <f t="shared" si="0"/>
        <v>12.921559492889429</v>
      </c>
      <c r="E19" s="671">
        <f>SUM(E16:E18)</f>
        <v>1874053.7900000003</v>
      </c>
      <c r="F19" s="669">
        <f t="shared" si="1"/>
        <v>20.6368550110854</v>
      </c>
      <c r="G19" s="671">
        <f>SUM(G16:G18)</f>
        <v>1881697.466</v>
      </c>
      <c r="H19" s="669">
        <f t="shared" si="2"/>
        <v>20.72102625217006</v>
      </c>
      <c r="I19" s="671">
        <f>SUM(I16:I18)</f>
        <v>4151930.4799999995</v>
      </c>
      <c r="J19" s="669">
        <f t="shared" si="3"/>
        <v>45.7205592438551</v>
      </c>
    </row>
    <row r="20" spans="1:10" ht="12.75">
      <c r="A20" s="256" t="s">
        <v>1559</v>
      </c>
      <c r="B20" s="250">
        <v>108485.159</v>
      </c>
      <c r="C20" s="251">
        <v>19999.276</v>
      </c>
      <c r="D20" s="259">
        <f t="shared" si="0"/>
        <v>18.43503404921958</v>
      </c>
      <c r="E20" s="253">
        <f>45909.434-C20</f>
        <v>25910.158</v>
      </c>
      <c r="F20" s="261">
        <f t="shared" si="1"/>
        <v>23.883596833738334</v>
      </c>
      <c r="G20" s="253">
        <f>71022.722-E20-C20</f>
        <v>25113.287999999997</v>
      </c>
      <c r="H20" s="261">
        <f t="shared" si="2"/>
        <v>23.149053964146376</v>
      </c>
      <c r="I20" s="260">
        <f aca="true" t="shared" si="4" ref="I20:I27">B20-C20-E20-G20</f>
        <v>37462.437000000005</v>
      </c>
      <c r="J20" s="261">
        <f t="shared" si="3"/>
        <v>34.53231515289571</v>
      </c>
    </row>
    <row r="21" spans="1:10" ht="12.75">
      <c r="A21" s="265" t="s">
        <v>1593</v>
      </c>
      <c r="B21" s="262">
        <v>85498.068</v>
      </c>
      <c r="C21" s="263">
        <v>13296.311</v>
      </c>
      <c r="D21" s="266">
        <f t="shared" si="0"/>
        <v>15.551592347092567</v>
      </c>
      <c r="E21" s="264">
        <f>31173.79-C21</f>
        <v>17877.479</v>
      </c>
      <c r="F21" s="248">
        <f t="shared" si="1"/>
        <v>20.909804651960087</v>
      </c>
      <c r="G21" s="264">
        <f>50380.151-E21-C21</f>
        <v>19206.360999999997</v>
      </c>
      <c r="H21" s="248">
        <f t="shared" si="2"/>
        <v>22.46408772652032</v>
      </c>
      <c r="I21" s="260">
        <f t="shared" si="4"/>
        <v>35117.917</v>
      </c>
      <c r="J21" s="248">
        <f t="shared" si="3"/>
        <v>41.07451527442702</v>
      </c>
    </row>
    <row r="22" spans="1:10" ht="12.75">
      <c r="A22" s="265" t="s">
        <v>1594</v>
      </c>
      <c r="B22" s="262">
        <v>77370.945</v>
      </c>
      <c r="C22" s="263">
        <v>8132.967</v>
      </c>
      <c r="D22" s="266">
        <f t="shared" si="0"/>
        <v>10.511655247328308</v>
      </c>
      <c r="E22" s="264">
        <f>21429.888-C22</f>
        <v>13296.920999999998</v>
      </c>
      <c r="F22" s="248">
        <f t="shared" si="1"/>
        <v>17.185935883295723</v>
      </c>
      <c r="G22" s="264">
        <f>35073.171-E22-C22</f>
        <v>13643.283000000003</v>
      </c>
      <c r="H22" s="248">
        <f t="shared" si="2"/>
        <v>17.633600054904335</v>
      </c>
      <c r="I22" s="260">
        <f t="shared" si="4"/>
        <v>42297.774</v>
      </c>
      <c r="J22" s="248">
        <f t="shared" si="3"/>
        <v>54.668808814471625</v>
      </c>
    </row>
    <row r="23" spans="1:10" ht="12.75">
      <c r="A23" s="265" t="s">
        <v>1595</v>
      </c>
      <c r="B23" s="262">
        <v>74714.421</v>
      </c>
      <c r="C23" s="263">
        <v>10198.149</v>
      </c>
      <c r="D23" s="252">
        <f t="shared" si="0"/>
        <v>13.649505495063663</v>
      </c>
      <c r="E23" s="264">
        <f>26547.329-C23</f>
        <v>16349.180000000002</v>
      </c>
      <c r="F23" s="254">
        <f t="shared" si="1"/>
        <v>21.882228064110947</v>
      </c>
      <c r="G23" s="264">
        <f>43514.005-E23-C23</f>
        <v>16966.676</v>
      </c>
      <c r="H23" s="254">
        <f t="shared" si="2"/>
        <v>22.708703049442086</v>
      </c>
      <c r="I23" s="253">
        <f t="shared" si="4"/>
        <v>31200.416000000005</v>
      </c>
      <c r="J23" s="254">
        <f t="shared" si="3"/>
        <v>41.75956339138331</v>
      </c>
    </row>
    <row r="24" spans="1:10" ht="12.75">
      <c r="A24" s="265" t="s">
        <v>1596</v>
      </c>
      <c r="B24" s="267">
        <v>69646.172</v>
      </c>
      <c r="C24" s="268">
        <v>10235.091</v>
      </c>
      <c r="D24" s="266">
        <f t="shared" si="0"/>
        <v>14.695841431170114</v>
      </c>
      <c r="E24" s="267">
        <f>26408.637-C24</f>
        <v>16173.545999999998</v>
      </c>
      <c r="F24" s="248">
        <f t="shared" si="1"/>
        <v>23.22244788988546</v>
      </c>
      <c r="G24" s="267">
        <f>41663.065-E24-C24</f>
        <v>15254.428000000004</v>
      </c>
      <c r="H24" s="248">
        <f t="shared" si="2"/>
        <v>21.902751525238173</v>
      </c>
      <c r="I24" s="267">
        <f t="shared" si="4"/>
        <v>27983.107</v>
      </c>
      <c r="J24" s="248">
        <f t="shared" si="3"/>
        <v>40.17895915370625</v>
      </c>
    </row>
    <row r="25" spans="1:10" ht="12.75">
      <c r="A25" s="265" t="s">
        <v>1597</v>
      </c>
      <c r="B25" s="269">
        <v>72378.956</v>
      </c>
      <c r="C25" s="268">
        <v>12018.391</v>
      </c>
      <c r="D25" s="266">
        <f t="shared" si="0"/>
        <v>16.60481397382963</v>
      </c>
      <c r="E25" s="267">
        <f>27730.56-C25</f>
        <v>15712.169000000002</v>
      </c>
      <c r="F25" s="248">
        <f t="shared" si="1"/>
        <v>21.70820065434489</v>
      </c>
      <c r="G25" s="267">
        <f>45679.316-E25-C25</f>
        <v>17948.755999999998</v>
      </c>
      <c r="H25" s="248">
        <f t="shared" si="2"/>
        <v>24.798307397525875</v>
      </c>
      <c r="I25" s="260">
        <f t="shared" si="4"/>
        <v>26699.640000000003</v>
      </c>
      <c r="J25" s="248">
        <f t="shared" si="3"/>
        <v>36.888677974299604</v>
      </c>
    </row>
    <row r="26" spans="1:10" ht="12.75">
      <c r="A26" s="265" t="s">
        <v>1598</v>
      </c>
      <c r="B26" s="269">
        <v>437470.936</v>
      </c>
      <c r="C26" s="268">
        <v>27159</v>
      </c>
      <c r="D26" s="266">
        <f t="shared" si="0"/>
        <v>6.208183850640994</v>
      </c>
      <c r="E26" s="267">
        <f>172164.839-C26</f>
        <v>145005.839</v>
      </c>
      <c r="F26" s="248">
        <f t="shared" si="1"/>
        <v>33.14639375265835</v>
      </c>
      <c r="G26" s="267">
        <f>210405.423-E26-C26</f>
        <v>38240.584</v>
      </c>
      <c r="H26" s="248">
        <f t="shared" si="2"/>
        <v>8.741285615371716</v>
      </c>
      <c r="I26" s="260">
        <f t="shared" si="4"/>
        <v>227065.51299999995</v>
      </c>
      <c r="J26" s="248">
        <f t="shared" si="3"/>
        <v>51.90413678132893</v>
      </c>
    </row>
    <row r="27" spans="1:10" ht="13.5" thickBot="1">
      <c r="A27" s="249" t="s">
        <v>1599</v>
      </c>
      <c r="B27" s="262">
        <v>115207.724</v>
      </c>
      <c r="C27" s="263">
        <v>18663.827</v>
      </c>
      <c r="D27" s="252">
        <f t="shared" si="0"/>
        <v>16.20015251755169</v>
      </c>
      <c r="E27" s="264">
        <f>42750.281-C27</f>
        <v>24086.454</v>
      </c>
      <c r="F27" s="254">
        <f t="shared" si="1"/>
        <v>20.906978424467447</v>
      </c>
      <c r="G27" s="264">
        <f>68088.151-E27-C27</f>
        <v>25337.87</v>
      </c>
      <c r="H27" s="254">
        <f t="shared" si="2"/>
        <v>21.99320420564857</v>
      </c>
      <c r="I27" s="253">
        <f t="shared" si="4"/>
        <v>47119.573000000004</v>
      </c>
      <c r="J27" s="254">
        <f t="shared" si="3"/>
        <v>40.8996648523323</v>
      </c>
    </row>
    <row r="28" spans="1:10" s="670" customFormat="1" ht="16.5" customHeight="1" thickBot="1">
      <c r="A28" s="255" t="s">
        <v>1600</v>
      </c>
      <c r="B28" s="666">
        <f>SUM(B20:B27)</f>
        <v>1040772.381</v>
      </c>
      <c r="C28" s="667">
        <f>SUM(C20:C27)</f>
        <v>119703.012</v>
      </c>
      <c r="D28" s="668">
        <f t="shared" si="0"/>
        <v>11.50136323611762</v>
      </c>
      <c r="E28" s="671">
        <f>SUM(E20:E27)</f>
        <v>274411.74600000004</v>
      </c>
      <c r="F28" s="669">
        <f t="shared" si="1"/>
        <v>26.366163342683866</v>
      </c>
      <c r="G28" s="671">
        <f>SUM(G20:G27)</f>
        <v>171711.24599999998</v>
      </c>
      <c r="H28" s="669">
        <f t="shared" si="2"/>
        <v>16.49844376491001</v>
      </c>
      <c r="I28" s="671">
        <f>SUM(I20:I27)</f>
        <v>474946.377</v>
      </c>
      <c r="J28" s="669">
        <f t="shared" si="3"/>
        <v>45.6340296562885</v>
      </c>
    </row>
    <row r="29" spans="1:10" ht="12.75">
      <c r="A29" s="256" t="s">
        <v>1601</v>
      </c>
      <c r="B29" s="257">
        <v>276484.131</v>
      </c>
      <c r="C29" s="258">
        <v>45892.797</v>
      </c>
      <c r="D29" s="259">
        <f t="shared" si="0"/>
        <v>16.598709240205906</v>
      </c>
      <c r="E29" s="260">
        <f>112322.695-C29</f>
        <v>66429.89800000002</v>
      </c>
      <c r="F29" s="261">
        <f t="shared" si="1"/>
        <v>24.02665851372136</v>
      </c>
      <c r="G29" s="260">
        <f>180248.595-E29-C29</f>
        <v>67925.9</v>
      </c>
      <c r="H29" s="261">
        <f t="shared" si="2"/>
        <v>24.567739115558858</v>
      </c>
      <c r="I29" s="260">
        <f aca="true" t="shared" si="5" ref="I29:I36">B29-C29-E29-G29</f>
        <v>96235.536</v>
      </c>
      <c r="J29" s="261">
        <f t="shared" si="3"/>
        <v>34.80689313051388</v>
      </c>
    </row>
    <row r="30" spans="1:10" ht="12.75">
      <c r="A30" s="265" t="s">
        <v>1602</v>
      </c>
      <c r="B30" s="269">
        <v>171548.165</v>
      </c>
      <c r="C30" s="268">
        <v>28248.643</v>
      </c>
      <c r="D30" s="266">
        <f t="shared" si="0"/>
        <v>16.46688730246692</v>
      </c>
      <c r="E30" s="267">
        <f>66165.693-C30</f>
        <v>37917.05</v>
      </c>
      <c r="F30" s="248">
        <f t="shared" si="1"/>
        <v>22.102859567165876</v>
      </c>
      <c r="G30" s="267">
        <f>104401.197-E30-C30</f>
        <v>38235.504</v>
      </c>
      <c r="H30" s="248">
        <f t="shared" si="2"/>
        <v>22.28849489587953</v>
      </c>
      <c r="I30" s="260">
        <f t="shared" si="5"/>
        <v>67146.968</v>
      </c>
      <c r="J30" s="248">
        <f t="shared" si="3"/>
        <v>39.14175823448767</v>
      </c>
    </row>
    <row r="31" spans="1:10" ht="12.75">
      <c r="A31" s="265" t="s">
        <v>1603</v>
      </c>
      <c r="B31" s="257">
        <v>212041.72</v>
      </c>
      <c r="C31" s="258">
        <v>38147.424</v>
      </c>
      <c r="D31" s="266">
        <f t="shared" si="0"/>
        <v>17.99052752448905</v>
      </c>
      <c r="E31" s="260">
        <f>82577.291-C31</f>
        <v>44429.867</v>
      </c>
      <c r="F31" s="248">
        <f t="shared" si="1"/>
        <v>20.953360970661812</v>
      </c>
      <c r="G31" s="260">
        <f>129802.43-E31-C31</f>
        <v>47225.138999999996</v>
      </c>
      <c r="H31" s="248">
        <f t="shared" si="2"/>
        <v>22.27162607434046</v>
      </c>
      <c r="I31" s="260">
        <f t="shared" si="5"/>
        <v>82239.29000000001</v>
      </c>
      <c r="J31" s="248">
        <f t="shared" si="3"/>
        <v>38.78448543050868</v>
      </c>
    </row>
    <row r="32" spans="1:10" ht="12.75">
      <c r="A32" s="265" t="s">
        <v>1604</v>
      </c>
      <c r="B32" s="269">
        <v>83827.539</v>
      </c>
      <c r="C32" s="268">
        <v>14420.001</v>
      </c>
      <c r="D32" s="266">
        <f t="shared" si="0"/>
        <v>17.201985376190038</v>
      </c>
      <c r="E32" s="267">
        <f>32110.156-C32</f>
        <v>17690.155</v>
      </c>
      <c r="F32" s="248">
        <f t="shared" si="1"/>
        <v>21.10303512548543</v>
      </c>
      <c r="G32" s="267">
        <f>49781.419-E32-C32</f>
        <v>17671.263000000003</v>
      </c>
      <c r="H32" s="248">
        <f t="shared" si="2"/>
        <v>21.080498378939648</v>
      </c>
      <c r="I32" s="260">
        <f t="shared" si="5"/>
        <v>34046.119999999995</v>
      </c>
      <c r="J32" s="248">
        <f t="shared" si="3"/>
        <v>40.61448111938488</v>
      </c>
    </row>
    <row r="33" spans="1:10" ht="12.75">
      <c r="A33" s="265" t="s">
        <v>1605</v>
      </c>
      <c r="B33" s="250">
        <v>73718.166</v>
      </c>
      <c r="C33" s="251">
        <v>11821.494</v>
      </c>
      <c r="D33" s="252">
        <f t="shared" si="0"/>
        <v>16.036066334043092</v>
      </c>
      <c r="E33" s="253">
        <f>25839.604-C33</f>
        <v>14018.109999999999</v>
      </c>
      <c r="F33" s="254">
        <f t="shared" si="1"/>
        <v>19.015814907820683</v>
      </c>
      <c r="G33" s="253">
        <f>42676.802-E33-C33</f>
        <v>16837.198000000004</v>
      </c>
      <c r="H33" s="248">
        <f t="shared" si="2"/>
        <v>22.83995779276441</v>
      </c>
      <c r="I33" s="260">
        <f t="shared" si="5"/>
        <v>31041.363999999994</v>
      </c>
      <c r="J33" s="248">
        <f t="shared" si="3"/>
        <v>42.108160965371816</v>
      </c>
    </row>
    <row r="34" spans="1:10" ht="12.75">
      <c r="A34" s="249" t="s">
        <v>140</v>
      </c>
      <c r="B34" s="262">
        <v>27338.521</v>
      </c>
      <c r="C34" s="263">
        <v>4702.996</v>
      </c>
      <c r="D34" s="252">
        <f t="shared" si="0"/>
        <v>17.202817957855146</v>
      </c>
      <c r="E34" s="264">
        <f>10393.449-C34</f>
        <v>5690.453</v>
      </c>
      <c r="F34" s="254">
        <f t="shared" si="1"/>
        <v>20.814779994865123</v>
      </c>
      <c r="G34" s="264">
        <f>17254.314-E34-C34</f>
        <v>6860.864999999997</v>
      </c>
      <c r="H34" s="254">
        <f t="shared" si="2"/>
        <v>25.095962579687455</v>
      </c>
      <c r="I34" s="253">
        <f t="shared" si="5"/>
        <v>10084.207000000002</v>
      </c>
      <c r="J34" s="254">
        <f t="shared" si="3"/>
        <v>36.886439467592275</v>
      </c>
    </row>
    <row r="35" spans="1:10" ht="12.75">
      <c r="A35" s="265" t="s">
        <v>125</v>
      </c>
      <c r="B35" s="269">
        <v>279423.211</v>
      </c>
      <c r="C35" s="270">
        <v>46620.277</v>
      </c>
      <c r="D35" s="271">
        <f t="shared" si="0"/>
        <v>16.684468277762367</v>
      </c>
      <c r="E35" s="272">
        <f>109025.403-C35</f>
        <v>62405.126000000004</v>
      </c>
      <c r="F35" s="273">
        <f t="shared" si="1"/>
        <v>22.3335512381611</v>
      </c>
      <c r="G35" s="272">
        <f>167312.792-E35-C35</f>
        <v>58287.38899999998</v>
      </c>
      <c r="H35" s="273">
        <f t="shared" si="2"/>
        <v>20.85989520748868</v>
      </c>
      <c r="I35" s="272">
        <f t="shared" si="5"/>
        <v>112110.41900000004</v>
      </c>
      <c r="J35" s="273">
        <f t="shared" si="3"/>
        <v>40.12208527658786</v>
      </c>
    </row>
    <row r="36" spans="1:10" ht="13.5" thickBot="1">
      <c r="A36" s="274" t="s">
        <v>126</v>
      </c>
      <c r="B36" s="262">
        <v>19977.155</v>
      </c>
      <c r="C36" s="275">
        <v>2810.271</v>
      </c>
      <c r="D36" s="276">
        <f t="shared" si="0"/>
        <v>14.067423514509452</v>
      </c>
      <c r="E36" s="277">
        <f>8806.556-C36</f>
        <v>5996.285</v>
      </c>
      <c r="F36" s="278">
        <f t="shared" si="1"/>
        <v>30.015710445256097</v>
      </c>
      <c r="G36" s="277">
        <f>14129.035-E36-C36</f>
        <v>5322.478999999999</v>
      </c>
      <c r="H36" s="278">
        <f t="shared" si="2"/>
        <v>26.642827770020304</v>
      </c>
      <c r="I36" s="272">
        <f t="shared" si="5"/>
        <v>5848.119999999999</v>
      </c>
      <c r="J36" s="278">
        <f t="shared" si="3"/>
        <v>29.27403827021415</v>
      </c>
    </row>
    <row r="37" spans="1:10" s="670" customFormat="1" ht="16.5" customHeight="1" thickBot="1">
      <c r="A37" s="255" t="s">
        <v>127</v>
      </c>
      <c r="B37" s="671">
        <f>SUM(B29:B36)</f>
        <v>1144358.6079999998</v>
      </c>
      <c r="C37" s="667">
        <f>SUM(C29:C36)</f>
        <v>192663.90300000002</v>
      </c>
      <c r="D37" s="672">
        <f t="shared" si="0"/>
        <v>16.835972714595076</v>
      </c>
      <c r="E37" s="671">
        <f>SUM(E29:E36)</f>
        <v>254576.944</v>
      </c>
      <c r="F37" s="673">
        <f t="shared" si="1"/>
        <v>22.246255869471298</v>
      </c>
      <c r="G37" s="671">
        <f>SUM(G29:G36)</f>
        <v>258365.73699999996</v>
      </c>
      <c r="H37" s="673">
        <f t="shared" si="2"/>
        <v>22.577340284226707</v>
      </c>
      <c r="I37" s="671">
        <f>SUM(I29:I36)</f>
        <v>438752.02400000003</v>
      </c>
      <c r="J37" s="673">
        <f t="shared" si="3"/>
        <v>38.340431131706936</v>
      </c>
    </row>
    <row r="38" spans="1:10" s="670" customFormat="1" ht="13.5" thickBot="1">
      <c r="A38" s="255" t="s">
        <v>128</v>
      </c>
      <c r="B38" s="671">
        <v>309750.097</v>
      </c>
      <c r="C38" s="676">
        <v>57623.218</v>
      </c>
      <c r="D38" s="672">
        <f t="shared" si="0"/>
        <v>18.603131543167844</v>
      </c>
      <c r="E38" s="677">
        <f>126595.151-C38</f>
        <v>68971.93299999999</v>
      </c>
      <c r="F38" s="674">
        <f t="shared" si="1"/>
        <v>22.26696090429311</v>
      </c>
      <c r="G38" s="677">
        <f>201406.368-E38-C38</f>
        <v>74811.217</v>
      </c>
      <c r="H38" s="674">
        <f t="shared" si="2"/>
        <v>24.152120604501377</v>
      </c>
      <c r="I38" s="677">
        <f aca="true" t="shared" si="6" ref="I38:I43">B38-C38-E38-G38</f>
        <v>108343.72900000002</v>
      </c>
      <c r="J38" s="674">
        <f t="shared" si="3"/>
        <v>34.97778694803767</v>
      </c>
    </row>
    <row r="39" spans="1:10" ht="12.75">
      <c r="A39" s="256" t="s">
        <v>129</v>
      </c>
      <c r="B39" s="257">
        <v>950955.79</v>
      </c>
      <c r="C39" s="279">
        <v>208290</v>
      </c>
      <c r="D39" s="280">
        <f t="shared" si="0"/>
        <v>21.903226437056553</v>
      </c>
      <c r="E39" s="281">
        <f>466707.489-C39</f>
        <v>258417.489</v>
      </c>
      <c r="F39" s="282">
        <f t="shared" si="1"/>
        <v>27.174500825111963</v>
      </c>
      <c r="G39" s="281">
        <f>689353.091-E39-C39</f>
        <v>222645.602</v>
      </c>
      <c r="H39" s="282">
        <f t="shared" si="2"/>
        <v>23.412823639256672</v>
      </c>
      <c r="I39" s="281">
        <f t="shared" si="6"/>
        <v>261602.69900000002</v>
      </c>
      <c r="J39" s="282">
        <f t="shared" si="3"/>
        <v>27.509449098574816</v>
      </c>
    </row>
    <row r="40" spans="1:10" ht="12.75">
      <c r="A40" s="265" t="s">
        <v>130</v>
      </c>
      <c r="B40" s="262">
        <v>40108</v>
      </c>
      <c r="C40" s="263">
        <v>7539.009</v>
      </c>
      <c r="D40" s="266">
        <f t="shared" si="0"/>
        <v>18.796771217712177</v>
      </c>
      <c r="E40" s="264">
        <f>15076-C40</f>
        <v>7536.991</v>
      </c>
      <c r="F40" s="248">
        <f t="shared" si="1"/>
        <v>18.79173980253316</v>
      </c>
      <c r="G40" s="264">
        <f>25598.481-E40-C40</f>
        <v>10522.480999999998</v>
      </c>
      <c r="H40" s="248">
        <f t="shared" si="2"/>
        <v>26.235367009075492</v>
      </c>
      <c r="I40" s="260">
        <f t="shared" si="6"/>
        <v>14509.519000000002</v>
      </c>
      <c r="J40" s="248">
        <f t="shared" si="3"/>
        <v>36.17612197067917</v>
      </c>
    </row>
    <row r="41" spans="1:10" ht="12.75">
      <c r="A41" s="265" t="s">
        <v>131</v>
      </c>
      <c r="B41" s="262">
        <v>41130</v>
      </c>
      <c r="C41" s="263">
        <v>16397</v>
      </c>
      <c r="D41" s="266">
        <f t="shared" si="0"/>
        <v>39.86627765621201</v>
      </c>
      <c r="E41" s="264">
        <f>29201-C41</f>
        <v>12804</v>
      </c>
      <c r="F41" s="248">
        <f t="shared" si="1"/>
        <v>31.13056163384391</v>
      </c>
      <c r="G41" s="264">
        <f>33669-E41-C41</f>
        <v>4468</v>
      </c>
      <c r="H41" s="248">
        <f t="shared" si="2"/>
        <v>10.863116946267931</v>
      </c>
      <c r="I41" s="260">
        <f t="shared" si="6"/>
        <v>7461</v>
      </c>
      <c r="J41" s="248">
        <f t="shared" si="3"/>
        <v>18.14004376367615</v>
      </c>
    </row>
    <row r="42" spans="1:10" ht="12.75">
      <c r="A42" s="265" t="s">
        <v>132</v>
      </c>
      <c r="B42" s="262">
        <v>39351</v>
      </c>
      <c r="C42" s="263">
        <v>7155</v>
      </c>
      <c r="D42" s="276">
        <f t="shared" si="0"/>
        <v>18.182511244949303</v>
      </c>
      <c r="E42" s="264">
        <f>14468-C42</f>
        <v>7313</v>
      </c>
      <c r="F42" s="283">
        <f t="shared" si="1"/>
        <v>18.584025818911844</v>
      </c>
      <c r="G42" s="264">
        <f>21858-E42-C42</f>
        <v>7390</v>
      </c>
      <c r="H42" s="283">
        <f t="shared" si="2"/>
        <v>18.779700642931566</v>
      </c>
      <c r="I42" s="253">
        <f t="shared" si="6"/>
        <v>17493</v>
      </c>
      <c r="J42" s="283">
        <f t="shared" si="3"/>
        <v>44.45376229320729</v>
      </c>
    </row>
    <row r="43" spans="1:10" ht="13.5" thickBot="1">
      <c r="A43" s="249" t="s">
        <v>133</v>
      </c>
      <c r="B43" s="264">
        <v>2607</v>
      </c>
      <c r="C43" s="263">
        <v>0</v>
      </c>
      <c r="D43" s="276">
        <v>0</v>
      </c>
      <c r="E43" s="264">
        <f>0-C43</f>
        <v>0</v>
      </c>
      <c r="F43" s="283">
        <v>0</v>
      </c>
      <c r="G43" s="264">
        <f>0-'[1]vfp06'!H41-'[1]vfp06'!F41-'[1]vfp06'!D41-'[1]bv06'!E41-'[1]bv06'!C41</f>
        <v>0</v>
      </c>
      <c r="H43" s="283">
        <v>0</v>
      </c>
      <c r="I43" s="264">
        <f t="shared" si="6"/>
        <v>2607</v>
      </c>
      <c r="J43" s="283">
        <f t="shared" si="3"/>
        <v>100</v>
      </c>
    </row>
    <row r="44" spans="1:10" s="670" customFormat="1" ht="16.5" customHeight="1" thickBot="1">
      <c r="A44" s="255" t="s">
        <v>134</v>
      </c>
      <c r="B44" s="666">
        <f>SUM(B39:B43)</f>
        <v>1074151.79</v>
      </c>
      <c r="C44" s="667">
        <f>SUM(C39:C43)</f>
        <v>239381.009</v>
      </c>
      <c r="D44" s="672">
        <f>C44*100/B44</f>
        <v>22.28558488926411</v>
      </c>
      <c r="E44" s="671">
        <f>SUM(E39:E43)</f>
        <v>286071.48</v>
      </c>
      <c r="F44" s="674">
        <f>E44*100/B44</f>
        <v>26.632314228140885</v>
      </c>
      <c r="G44" s="671">
        <f>SUM(G39:G43)</f>
        <v>245026.083</v>
      </c>
      <c r="H44" s="674">
        <f>G44*100/B44</f>
        <v>22.81112271851262</v>
      </c>
      <c r="I44" s="671">
        <f>SUM(I39:I43)</f>
        <v>303673.21800000005</v>
      </c>
      <c r="J44" s="674">
        <f t="shared" si="3"/>
        <v>28.270978164082383</v>
      </c>
    </row>
    <row r="45" spans="1:10" s="682" customFormat="1" ht="20.25" customHeight="1" thickBot="1">
      <c r="A45" s="678" t="s">
        <v>135</v>
      </c>
      <c r="B45" s="679">
        <f>B11+B15+B19+B28+B37+B38+B44</f>
        <v>59828400.998</v>
      </c>
      <c r="C45" s="679">
        <f>C11+C15+C19+C28+C37+C38+C44</f>
        <v>9779385.886000002</v>
      </c>
      <c r="D45" s="680">
        <f>C45*100/B45</f>
        <v>16.34572497822049</v>
      </c>
      <c r="E45" s="679">
        <f>E11+E15+E19+E28+E37+E38+E44</f>
        <v>13339544.633</v>
      </c>
      <c r="F45" s="681">
        <f>E45*100/B45</f>
        <v>22.296341554316193</v>
      </c>
      <c r="G45" s="679">
        <f>G11+G15+G19+G28+G37+G38+G44</f>
        <v>13423969.617999999</v>
      </c>
      <c r="H45" s="681">
        <f>G45*100/B45</f>
        <v>22.43745344029627</v>
      </c>
      <c r="I45" s="679">
        <f>I11+I15+I19+I28+I37+I38+I44</f>
        <v>23285500.861</v>
      </c>
      <c r="J45" s="681">
        <f t="shared" si="3"/>
        <v>38.92048002716705</v>
      </c>
    </row>
    <row r="46" spans="1:10" ht="6" customHeight="1">
      <c r="A46" s="151"/>
      <c r="B46" s="284"/>
      <c r="C46" s="284"/>
      <c r="D46" s="285"/>
      <c r="E46" s="284"/>
      <c r="F46" s="285"/>
      <c r="G46" s="284"/>
      <c r="H46" s="285"/>
      <c r="I46" s="284"/>
      <c r="J46" s="285"/>
    </row>
    <row r="47" spans="1:10" ht="12.75">
      <c r="A47" s="239" t="s">
        <v>1569</v>
      </c>
      <c r="B47" s="284"/>
      <c r="C47" s="284"/>
      <c r="D47" s="285"/>
      <c r="E47" s="284"/>
      <c r="F47" s="285"/>
      <c r="G47" s="284"/>
      <c r="H47" s="285"/>
      <c r="I47" s="284"/>
      <c r="J47" s="285"/>
    </row>
    <row r="48" ht="12.75">
      <c r="A48" s="286" t="s">
        <v>136</v>
      </c>
    </row>
    <row r="49" ht="12.75">
      <c r="A49" s="142" t="s">
        <v>137</v>
      </c>
    </row>
    <row r="50" spans="3:9" ht="12.75">
      <c r="C50" s="193"/>
      <c r="D50" s="193"/>
      <c r="E50" s="193"/>
      <c r="F50" s="193"/>
      <c r="G50" s="193"/>
      <c r="H50" s="193"/>
      <c r="I50" s="193"/>
    </row>
    <row r="51" spans="1:10" ht="12.75">
      <c r="A51" s="142" t="s">
        <v>1432</v>
      </c>
      <c r="B51" s="142"/>
      <c r="C51" s="142" t="s">
        <v>1572</v>
      </c>
      <c r="I51" s="1261" t="s">
        <v>1573</v>
      </c>
      <c r="J51" s="1261"/>
    </row>
    <row r="56" ht="12.75">
      <c r="B56" s="675"/>
    </row>
  </sheetData>
  <mergeCells count="3">
    <mergeCell ref="I2:J2"/>
    <mergeCell ref="I51:J51"/>
    <mergeCell ref="A4:J4"/>
  </mergeCells>
  <printOptions horizontalCentered="1"/>
  <pageMargins left="0.7874015748031497" right="0.7874015748031497" top="0.984251968503937" bottom="0.984251968503937" header="0.5118110236220472" footer="0.31496062992125984"/>
  <pageSetup fitToHeight="1" fitToWidth="1" horizontalDpi="600" verticalDpi="600" orientation="landscape" paperSize="9" scale="69" r:id="rId1"/>
  <headerFooter alignWithMargins="0">
    <oddFooter>&amp;C&amp;P+178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 topLeftCell="A23">
      <selection activeCell="B41" sqref="B41"/>
    </sheetView>
  </sheetViews>
  <sheetFormatPr defaultColWidth="9.00390625" defaultRowHeight="12.75"/>
  <cols>
    <col min="1" max="1" width="9.75390625" style="1068" customWidth="1"/>
    <col min="2" max="2" width="57.625" style="143" customWidth="1"/>
    <col min="3" max="3" width="13.00390625" style="143" customWidth="1"/>
    <col min="4" max="8" width="16.00390625" style="143" customWidth="1"/>
    <col min="9" max="9" width="14.875" style="143" customWidth="1"/>
    <col min="10" max="10" width="17.25390625" style="143" customWidth="1"/>
    <col min="11" max="11" width="15.125" style="143" customWidth="1"/>
    <col min="12" max="12" width="11.375" style="143" customWidth="1"/>
    <col min="13" max="13" width="13.00390625" style="143" customWidth="1"/>
    <col min="14" max="14" width="11.375" style="143" customWidth="1"/>
    <col min="15" max="16384" width="9.125" style="143" customWidth="1"/>
  </cols>
  <sheetData>
    <row r="1" spans="3:10" ht="15" hidden="1">
      <c r="C1" s="1066"/>
      <c r="D1" s="1066"/>
      <c r="E1" s="1066"/>
      <c r="F1" s="1066"/>
      <c r="G1" s="1066"/>
      <c r="H1" s="1066"/>
      <c r="I1" s="1066"/>
      <c r="J1" s="1066"/>
    </row>
    <row r="2" spans="1:14" ht="36" customHeight="1">
      <c r="A2" s="1155" t="s">
        <v>979</v>
      </c>
      <c r="B2" s="1155"/>
      <c r="C2" s="1066"/>
      <c r="D2" s="1066"/>
      <c r="E2" s="1066"/>
      <c r="F2" s="1066"/>
      <c r="G2" s="1066"/>
      <c r="H2" s="1066"/>
      <c r="I2" s="1066"/>
      <c r="J2" s="1066"/>
      <c r="M2" s="1288" t="s">
        <v>2</v>
      </c>
      <c r="N2" s="1288"/>
    </row>
    <row r="3" spans="1:14" ht="14.25" customHeight="1">
      <c r="A3" s="1155"/>
      <c r="B3" s="1155"/>
      <c r="C3" s="1066"/>
      <c r="D3" s="1066"/>
      <c r="E3" s="1066"/>
      <c r="F3" s="1066"/>
      <c r="G3" s="1066"/>
      <c r="H3" s="1066"/>
      <c r="I3" s="1066"/>
      <c r="J3" s="1066"/>
      <c r="M3" s="1067"/>
      <c r="N3" s="1067"/>
    </row>
    <row r="4" spans="1:13" ht="39" customHeight="1">
      <c r="A4" s="1069"/>
      <c r="B4" s="1289" t="s">
        <v>845</v>
      </c>
      <c r="C4" s="1289"/>
      <c r="D4" s="1289"/>
      <c r="E4" s="1289"/>
      <c r="F4" s="1289"/>
      <c r="G4" s="1289"/>
      <c r="H4" s="1289"/>
      <c r="I4" s="1289"/>
      <c r="J4" s="1289"/>
      <c r="K4" s="1289"/>
      <c r="L4" s="1289"/>
      <c r="M4" s="1289"/>
    </row>
    <row r="5" spans="1:14" ht="20.25" customHeight="1">
      <c r="A5" s="1070"/>
      <c r="B5" s="1070"/>
      <c r="C5" s="1070"/>
      <c r="D5" s="1070"/>
      <c r="E5" s="1070"/>
      <c r="F5" s="1070"/>
      <c r="G5" s="1070"/>
      <c r="H5" s="1070"/>
      <c r="I5" s="1070"/>
      <c r="J5" s="1070"/>
      <c r="K5" s="1070"/>
      <c r="L5" s="1070"/>
      <c r="M5" s="1070"/>
      <c r="N5" s="1071" t="s">
        <v>1</v>
      </c>
    </row>
    <row r="6" spans="1:13" ht="1.5" customHeight="1" thickBot="1">
      <c r="A6" s="1070"/>
      <c r="B6" s="1070"/>
      <c r="C6" s="1070"/>
      <c r="D6" s="1070"/>
      <c r="E6" s="1070"/>
      <c r="F6" s="1070"/>
      <c r="G6" s="1070"/>
      <c r="H6" s="1070"/>
      <c r="I6" s="1070"/>
      <c r="J6" s="1070"/>
      <c r="K6" s="1070"/>
      <c r="L6" s="1070"/>
      <c r="M6" s="1070"/>
    </row>
    <row r="7" spans="1:14" s="286" customFormat="1" ht="18" customHeight="1">
      <c r="A7" s="1290" t="s">
        <v>2403</v>
      </c>
      <c r="B7" s="1292" t="s">
        <v>846</v>
      </c>
      <c r="C7" s="1294" t="s">
        <v>847</v>
      </c>
      <c r="D7" s="1295"/>
      <c r="E7" s="1295"/>
      <c r="F7" s="1295"/>
      <c r="G7" s="1295"/>
      <c r="H7" s="1296"/>
      <c r="I7" s="1294" t="s">
        <v>848</v>
      </c>
      <c r="J7" s="1295"/>
      <c r="K7" s="1296"/>
      <c r="L7" s="1294" t="s">
        <v>849</v>
      </c>
      <c r="M7" s="1295"/>
      <c r="N7" s="1296"/>
    </row>
    <row r="8" spans="1:14" s="286" customFormat="1" ht="15.75" customHeight="1">
      <c r="A8" s="1291"/>
      <c r="B8" s="1293"/>
      <c r="C8" s="1300" t="s">
        <v>1429</v>
      </c>
      <c r="D8" s="1301"/>
      <c r="E8" s="1302"/>
      <c r="F8" s="1303" t="s">
        <v>1430</v>
      </c>
      <c r="G8" s="1304"/>
      <c r="H8" s="1305"/>
      <c r="I8" s="1297"/>
      <c r="J8" s="1298"/>
      <c r="K8" s="1299"/>
      <c r="L8" s="1297"/>
      <c r="M8" s="1298"/>
      <c r="N8" s="1299"/>
    </row>
    <row r="9" spans="1:16" ht="48" customHeight="1">
      <c r="A9" s="1291"/>
      <c r="B9" s="1293"/>
      <c r="C9" s="1072" t="s">
        <v>850</v>
      </c>
      <c r="D9" s="1073" t="s">
        <v>2404</v>
      </c>
      <c r="E9" s="1074" t="s">
        <v>1577</v>
      </c>
      <c r="F9" s="1074" t="s">
        <v>850</v>
      </c>
      <c r="G9" s="1073" t="s">
        <v>2404</v>
      </c>
      <c r="H9" s="1075" t="s">
        <v>1577</v>
      </c>
      <c r="I9" s="1072" t="s">
        <v>850</v>
      </c>
      <c r="J9" s="1073" t="s">
        <v>2404</v>
      </c>
      <c r="K9" s="1075" t="s">
        <v>1577</v>
      </c>
      <c r="L9" s="1072" t="s">
        <v>850</v>
      </c>
      <c r="M9" s="1076" t="s">
        <v>2404</v>
      </c>
      <c r="N9" s="1077" t="s">
        <v>1577</v>
      </c>
      <c r="P9" s="906"/>
    </row>
    <row r="10" spans="1:16" ht="12.75" customHeight="1" thickBot="1">
      <c r="A10" s="1291"/>
      <c r="B10" s="1293"/>
      <c r="C10" s="1078">
        <v>1</v>
      </c>
      <c r="D10" s="1079">
        <v>2</v>
      </c>
      <c r="E10" s="1079">
        <v>3</v>
      </c>
      <c r="F10" s="1079">
        <v>4</v>
      </c>
      <c r="G10" s="1079">
        <v>5</v>
      </c>
      <c r="H10" s="1080">
        <v>6</v>
      </c>
      <c r="I10" s="1078">
        <v>7</v>
      </c>
      <c r="J10" s="1079">
        <v>8</v>
      </c>
      <c r="K10" s="1080">
        <v>9</v>
      </c>
      <c r="L10" s="1081" t="s">
        <v>851</v>
      </c>
      <c r="M10" s="1082" t="s">
        <v>852</v>
      </c>
      <c r="N10" s="1080" t="s">
        <v>853</v>
      </c>
      <c r="O10" s="1068"/>
      <c r="P10" s="1068"/>
    </row>
    <row r="11" spans="1:14" ht="19.5" customHeight="1">
      <c r="A11" s="1083"/>
      <c r="B11" s="1084" t="s">
        <v>854</v>
      </c>
      <c r="C11" s="1085"/>
      <c r="D11" s="1086"/>
      <c r="E11" s="1086"/>
      <c r="F11" s="1086"/>
      <c r="G11" s="1086"/>
      <c r="H11" s="1087"/>
      <c r="I11" s="1088"/>
      <c r="J11" s="1086"/>
      <c r="K11" s="1089"/>
      <c r="L11" s="1090"/>
      <c r="M11" s="1090"/>
      <c r="N11" s="1090"/>
    </row>
    <row r="12" spans="1:14" ht="19.5" customHeight="1">
      <c r="A12" s="1091"/>
      <c r="B12" s="1092" t="s">
        <v>855</v>
      </c>
      <c r="C12" s="1093">
        <v>0</v>
      </c>
      <c r="D12" s="1093">
        <v>0</v>
      </c>
      <c r="E12" s="1094">
        <v>0</v>
      </c>
      <c r="F12" s="1095">
        <f aca="true" t="shared" si="0" ref="F12:K12">F18+F17+F16+F15+F14</f>
        <v>136</v>
      </c>
      <c r="G12" s="1093">
        <f t="shared" si="0"/>
        <v>1330</v>
      </c>
      <c r="H12" s="1096">
        <f t="shared" si="0"/>
        <v>1466</v>
      </c>
      <c r="I12" s="1097">
        <f t="shared" si="0"/>
        <v>131.89</v>
      </c>
      <c r="J12" s="1093">
        <f t="shared" si="0"/>
        <v>3768.12</v>
      </c>
      <c r="K12" s="1098">
        <f t="shared" si="0"/>
        <v>3900.01</v>
      </c>
      <c r="L12" s="1099">
        <f>I12/F12</f>
        <v>0.9697794117647058</v>
      </c>
      <c r="M12" s="1099">
        <f>J12/G12</f>
        <v>2.833172932330827</v>
      </c>
      <c r="N12" s="1099">
        <f>K12/H12</f>
        <v>2.660306957708049</v>
      </c>
    </row>
    <row r="13" spans="1:14" ht="19.5" customHeight="1">
      <c r="A13" s="1100"/>
      <c r="B13" s="1101" t="s">
        <v>856</v>
      </c>
      <c r="C13" s="1102"/>
      <c r="D13" s="1103"/>
      <c r="E13" s="1104"/>
      <c r="F13" s="1103"/>
      <c r="G13" s="1103"/>
      <c r="H13" s="1105"/>
      <c r="I13" s="1106"/>
      <c r="J13" s="1103"/>
      <c r="K13" s="1107"/>
      <c r="L13" s="1108"/>
      <c r="M13" s="1108"/>
      <c r="N13" s="1109"/>
    </row>
    <row r="14" spans="1:14" ht="19.5" customHeight="1">
      <c r="A14" s="1100"/>
      <c r="B14" s="1110" t="s">
        <v>857</v>
      </c>
      <c r="C14" s="1102">
        <v>0</v>
      </c>
      <c r="D14" s="1103">
        <v>0</v>
      </c>
      <c r="E14" s="1104">
        <f>SUM(C14:D14)</f>
        <v>0</v>
      </c>
      <c r="F14" s="1103">
        <v>0</v>
      </c>
      <c r="G14" s="1103">
        <v>0</v>
      </c>
      <c r="H14" s="1105">
        <f>SUM(F14:G14)</f>
        <v>0</v>
      </c>
      <c r="I14" s="1106">
        <v>0</v>
      </c>
      <c r="J14" s="1103">
        <v>0</v>
      </c>
      <c r="K14" s="1107">
        <f>SUM(I14:J14)</f>
        <v>0</v>
      </c>
      <c r="L14" s="1111">
        <v>0</v>
      </c>
      <c r="M14" s="1111">
        <v>0</v>
      </c>
      <c r="N14" s="1111">
        <v>0</v>
      </c>
    </row>
    <row r="15" spans="1:14" ht="19.5" customHeight="1">
      <c r="A15" s="1112"/>
      <c r="B15" s="652" t="s">
        <v>2408</v>
      </c>
      <c r="C15" s="429">
        <v>0</v>
      </c>
      <c r="D15" s="430">
        <v>0</v>
      </c>
      <c r="E15" s="431">
        <v>0</v>
      </c>
      <c r="F15" s="430">
        <v>0</v>
      </c>
      <c r="G15" s="430">
        <v>0</v>
      </c>
      <c r="H15" s="432">
        <v>0</v>
      </c>
      <c r="I15" s="433">
        <v>0</v>
      </c>
      <c r="J15" s="430">
        <v>369.5</v>
      </c>
      <c r="K15" s="434">
        <f>SUM(I15:J15)</f>
        <v>369.5</v>
      </c>
      <c r="L15" s="435">
        <v>0</v>
      </c>
      <c r="M15" s="435">
        <v>0</v>
      </c>
      <c r="N15" s="435">
        <v>0</v>
      </c>
    </row>
    <row r="16" spans="1:14" ht="19.5" customHeight="1">
      <c r="A16" s="1113"/>
      <c r="B16" s="1110" t="s">
        <v>2405</v>
      </c>
      <c r="C16" s="1102">
        <v>0</v>
      </c>
      <c r="D16" s="1103">
        <v>0</v>
      </c>
      <c r="E16" s="1104">
        <f>SUM(C16:D16)</f>
        <v>0</v>
      </c>
      <c r="F16" s="1103">
        <v>136</v>
      </c>
      <c r="G16" s="1103">
        <v>1330</v>
      </c>
      <c r="H16" s="1105">
        <f>SUM(F16:G16)</f>
        <v>1466</v>
      </c>
      <c r="I16" s="1106">
        <v>131.89</v>
      </c>
      <c r="J16" s="1103">
        <v>1550.01</v>
      </c>
      <c r="K16" s="1107">
        <f>SUM(I16:J16)</f>
        <v>1681.9</v>
      </c>
      <c r="L16" s="1111">
        <f>I16/F16</f>
        <v>0.9697794117647058</v>
      </c>
      <c r="M16" s="1111">
        <f>J16/G16</f>
        <v>1.165421052631579</v>
      </c>
      <c r="N16" s="894">
        <f>K16/H16</f>
        <v>1.1472714870395635</v>
      </c>
    </row>
    <row r="17" spans="1:14" ht="19.5" customHeight="1">
      <c r="A17" s="1100"/>
      <c r="B17" s="1110" t="s">
        <v>858</v>
      </c>
      <c r="C17" s="1102">
        <v>0</v>
      </c>
      <c r="D17" s="1103">
        <v>0</v>
      </c>
      <c r="E17" s="1104">
        <f>SUM(C17:D17)</f>
        <v>0</v>
      </c>
      <c r="F17" s="1103">
        <v>0</v>
      </c>
      <c r="G17" s="1103">
        <v>0</v>
      </c>
      <c r="H17" s="1105">
        <f>SUM(F17:G17)</f>
        <v>0</v>
      </c>
      <c r="I17" s="1106">
        <v>0</v>
      </c>
      <c r="J17" s="1103">
        <v>377.82</v>
      </c>
      <c r="K17" s="1107">
        <f>SUM(I17:J17)</f>
        <v>377.82</v>
      </c>
      <c r="L17" s="1111">
        <v>0</v>
      </c>
      <c r="M17" s="1111">
        <v>0</v>
      </c>
      <c r="N17" s="1111">
        <v>0</v>
      </c>
    </row>
    <row r="18" spans="1:14" ht="19.5" customHeight="1" thickBot="1">
      <c r="A18" s="1113"/>
      <c r="B18" s="1114" t="s">
        <v>2406</v>
      </c>
      <c r="C18" s="1115">
        <v>0</v>
      </c>
      <c r="D18" s="1116">
        <v>0</v>
      </c>
      <c r="E18" s="1104">
        <f>SUM(C18:D18)</f>
        <v>0</v>
      </c>
      <c r="F18" s="1116">
        <v>0</v>
      </c>
      <c r="G18" s="1116">
        <v>0</v>
      </c>
      <c r="H18" s="1105">
        <f>SUM(F18:G18)</f>
        <v>0</v>
      </c>
      <c r="I18" s="1117">
        <v>0</v>
      </c>
      <c r="J18" s="1116">
        <v>1470.79</v>
      </c>
      <c r="K18" s="1107">
        <f>SUM(I18:J18)</f>
        <v>1470.79</v>
      </c>
      <c r="L18" s="1111">
        <v>0</v>
      </c>
      <c r="M18" s="1111">
        <v>0</v>
      </c>
      <c r="N18" s="1111">
        <v>0</v>
      </c>
    </row>
    <row r="19" spans="1:14" ht="19.5" customHeight="1">
      <c r="A19" s="1112"/>
      <c r="B19" s="1118" t="s">
        <v>854</v>
      </c>
      <c r="C19" s="1281">
        <f>C25+C21</f>
        <v>223361</v>
      </c>
      <c r="D19" s="1281">
        <f>D25+D21</f>
        <v>1113337</v>
      </c>
      <c r="E19" s="1281">
        <f>SUM(C19:D20)</f>
        <v>1336698</v>
      </c>
      <c r="F19" s="1281">
        <f>F25+F21</f>
        <v>384137</v>
      </c>
      <c r="G19" s="1281">
        <f>G25+G21</f>
        <v>1513673</v>
      </c>
      <c r="H19" s="1281">
        <f>SUM(F19:G20)</f>
        <v>1897810</v>
      </c>
      <c r="I19" s="1281">
        <f>I25+I21</f>
        <v>31736.82</v>
      </c>
      <c r="J19" s="1281">
        <f>J25+J21</f>
        <v>396519.64999999997</v>
      </c>
      <c r="K19" s="1284">
        <f>SUM(I19:J20)</f>
        <v>428256.47</v>
      </c>
      <c r="L19" s="1272">
        <f>I19/F19</f>
        <v>0.08261849288144595</v>
      </c>
      <c r="M19" s="1272">
        <f>J19/G19</f>
        <v>0.2619585934346454</v>
      </c>
      <c r="N19" s="1272">
        <f>K19/H19</f>
        <v>0.22565824292210493</v>
      </c>
    </row>
    <row r="20" spans="1:14" ht="19.5" customHeight="1">
      <c r="A20" s="1091"/>
      <c r="B20" s="1092" t="s">
        <v>2407</v>
      </c>
      <c r="C20" s="1287"/>
      <c r="D20" s="1287"/>
      <c r="E20" s="1287"/>
      <c r="F20" s="1287"/>
      <c r="G20" s="1287"/>
      <c r="H20" s="1287"/>
      <c r="I20" s="1287"/>
      <c r="J20" s="1287"/>
      <c r="K20" s="1285"/>
      <c r="L20" s="1286"/>
      <c r="M20" s="1286"/>
      <c r="N20" s="1286"/>
    </row>
    <row r="21" spans="1:14" ht="19.5" customHeight="1">
      <c r="A21" s="1112"/>
      <c r="B21" s="1119" t="s">
        <v>859</v>
      </c>
      <c r="C21" s="1102">
        <f>C22+C23+C24</f>
        <v>217806</v>
      </c>
      <c r="D21" s="1102">
        <f aca="true" t="shared" si="1" ref="D21:J21">D22+D23+D24</f>
        <v>1023000</v>
      </c>
      <c r="E21" s="1102">
        <f>SUM(C21:D21)</f>
        <v>1240806</v>
      </c>
      <c r="F21" s="1102">
        <f t="shared" si="1"/>
        <v>379378</v>
      </c>
      <c r="G21" s="1102">
        <f t="shared" si="1"/>
        <v>1412242</v>
      </c>
      <c r="H21" s="1102">
        <f>SUM(F21:G21)</f>
        <v>1791620</v>
      </c>
      <c r="I21" s="1102">
        <f t="shared" si="1"/>
        <v>29291.74</v>
      </c>
      <c r="J21" s="1102">
        <f t="shared" si="1"/>
        <v>375291.95999999996</v>
      </c>
      <c r="K21" s="1120">
        <f>I21+J21</f>
        <v>404583.69999999995</v>
      </c>
      <c r="L21" s="1111">
        <f aca="true" t="shared" si="2" ref="L21:N25">I21/F21</f>
        <v>0.07720990674208837</v>
      </c>
      <c r="M21" s="1111">
        <f t="shared" si="2"/>
        <v>0.26574196207165623</v>
      </c>
      <c r="N21" s="1111">
        <f t="shared" si="2"/>
        <v>0.2258200399638316</v>
      </c>
    </row>
    <row r="22" spans="1:14" ht="19.5" customHeight="1">
      <c r="A22" s="1091"/>
      <c r="B22" s="1110" t="s">
        <v>2409</v>
      </c>
      <c r="C22" s="1102">
        <v>37556</v>
      </c>
      <c r="D22" s="1103">
        <v>212815</v>
      </c>
      <c r="E22" s="1102">
        <f>SUM(C22:D22)</f>
        <v>250371</v>
      </c>
      <c r="F22" s="1103">
        <v>27741</v>
      </c>
      <c r="G22" s="1103">
        <v>157206</v>
      </c>
      <c r="H22" s="1102">
        <f>SUM(F22:G22)</f>
        <v>184947</v>
      </c>
      <c r="I22" s="1106">
        <v>476.65</v>
      </c>
      <c r="J22" s="1103">
        <v>2741.99</v>
      </c>
      <c r="K22" s="1120">
        <f>SUM(I22:J22)</f>
        <v>3218.64</v>
      </c>
      <c r="L22" s="1111">
        <f t="shared" si="2"/>
        <v>0.017182149165495115</v>
      </c>
      <c r="M22" s="1111">
        <f t="shared" si="2"/>
        <v>0.017442018752464917</v>
      </c>
      <c r="N22" s="1111">
        <f t="shared" si="2"/>
        <v>0.01740303978977761</v>
      </c>
    </row>
    <row r="23" spans="1:14" ht="19.5" customHeight="1">
      <c r="A23" s="1112"/>
      <c r="B23" s="1110" t="s">
        <v>860</v>
      </c>
      <c r="C23" s="1102">
        <v>180250</v>
      </c>
      <c r="D23" s="1103">
        <v>810185</v>
      </c>
      <c r="E23" s="1102">
        <f>SUM(C23:D23)</f>
        <v>990435</v>
      </c>
      <c r="F23" s="1103">
        <v>350515</v>
      </c>
      <c r="G23" s="1103">
        <v>1255036</v>
      </c>
      <c r="H23" s="1102">
        <f>SUM(F23:G23)</f>
        <v>1605551</v>
      </c>
      <c r="I23" s="1106">
        <v>28815.09</v>
      </c>
      <c r="J23" s="1103">
        <v>372549.97</v>
      </c>
      <c r="K23" s="1120">
        <f>SUM(I23:J23)</f>
        <v>401365.06</v>
      </c>
      <c r="L23" s="1111">
        <f t="shared" si="2"/>
        <v>0.08220786556923385</v>
      </c>
      <c r="M23" s="1111">
        <f t="shared" si="2"/>
        <v>0.2968440506885858</v>
      </c>
      <c r="N23" s="1111">
        <f t="shared" si="2"/>
        <v>0.24998586777997087</v>
      </c>
    </row>
    <row r="24" spans="1:14" ht="19.5" customHeight="1">
      <c r="A24" s="1121"/>
      <c r="B24" s="1110" t="s">
        <v>861</v>
      </c>
      <c r="C24" s="1102">
        <v>0</v>
      </c>
      <c r="D24" s="1103">
        <v>0</v>
      </c>
      <c r="E24" s="1102">
        <f>SUM(C24:D24)</f>
        <v>0</v>
      </c>
      <c r="F24" s="1103">
        <v>1122</v>
      </c>
      <c r="G24" s="1103">
        <v>0</v>
      </c>
      <c r="H24" s="1102">
        <f>SUM(F24:G24)</f>
        <v>1122</v>
      </c>
      <c r="I24" s="1106">
        <v>0</v>
      </c>
      <c r="J24" s="1103">
        <v>0</v>
      </c>
      <c r="K24" s="1120">
        <f>SUM(I24:J24)</f>
        <v>0</v>
      </c>
      <c r="L24" s="1111">
        <f t="shared" si="2"/>
        <v>0</v>
      </c>
      <c r="M24" s="1111">
        <v>0</v>
      </c>
      <c r="N24" s="1111">
        <v>0</v>
      </c>
    </row>
    <row r="25" spans="1:14" ht="19.5" customHeight="1" thickBot="1">
      <c r="A25" s="1100"/>
      <c r="B25" s="1122" t="s">
        <v>862</v>
      </c>
      <c r="C25" s="1115">
        <v>5555</v>
      </c>
      <c r="D25" s="1116">
        <v>90337</v>
      </c>
      <c r="E25" s="1102">
        <f>SUM(C25:D25)</f>
        <v>95892</v>
      </c>
      <c r="F25" s="1116">
        <v>4759</v>
      </c>
      <c r="G25" s="1116">
        <v>101431</v>
      </c>
      <c r="H25" s="1102">
        <f>SUM(F25:G25)</f>
        <v>106190</v>
      </c>
      <c r="I25" s="1117">
        <v>2445.08</v>
      </c>
      <c r="J25" s="1116">
        <v>21227.69</v>
      </c>
      <c r="K25" s="1120">
        <f>SUM(I25:J25)</f>
        <v>23672.769999999997</v>
      </c>
      <c r="L25" s="1111">
        <f t="shared" si="2"/>
        <v>0.5137802059256146</v>
      </c>
      <c r="M25" s="1111">
        <f t="shared" si="2"/>
        <v>0.20928207352781691</v>
      </c>
      <c r="N25" s="1111">
        <f t="shared" si="2"/>
        <v>0.22292843017233258</v>
      </c>
    </row>
    <row r="26" spans="1:14" ht="19.5" customHeight="1">
      <c r="A26" s="1123"/>
      <c r="B26" s="1124" t="s">
        <v>863</v>
      </c>
      <c r="C26" s="1281">
        <v>4828</v>
      </c>
      <c r="D26" s="1275">
        <v>27356</v>
      </c>
      <c r="E26" s="1275">
        <f>C26+D26</f>
        <v>32184</v>
      </c>
      <c r="F26" s="1275">
        <v>5113</v>
      </c>
      <c r="G26" s="1275">
        <v>27356</v>
      </c>
      <c r="H26" s="1275">
        <f>F26+G26</f>
        <v>32469</v>
      </c>
      <c r="I26" s="1278">
        <v>2506.07</v>
      </c>
      <c r="J26" s="1275">
        <v>12975.27</v>
      </c>
      <c r="K26" s="1269">
        <f>I26+J26</f>
        <v>15481.34</v>
      </c>
      <c r="L26" s="1272">
        <f>I26/F26</f>
        <v>0.49013690592607084</v>
      </c>
      <c r="M26" s="1272">
        <f>J26/G26</f>
        <v>0.4743116683725691</v>
      </c>
      <c r="N26" s="1272">
        <f>K26/H26</f>
        <v>0.47680372047183467</v>
      </c>
    </row>
    <row r="27" spans="1:14" ht="19.5" customHeight="1">
      <c r="A27" s="1125"/>
      <c r="B27" s="1124" t="s">
        <v>864</v>
      </c>
      <c r="C27" s="1282"/>
      <c r="D27" s="1276"/>
      <c r="E27" s="1276"/>
      <c r="F27" s="1276"/>
      <c r="G27" s="1276"/>
      <c r="H27" s="1276"/>
      <c r="I27" s="1279"/>
      <c r="J27" s="1276"/>
      <c r="K27" s="1270"/>
      <c r="L27" s="1273"/>
      <c r="M27" s="1273"/>
      <c r="N27" s="1273"/>
    </row>
    <row r="28" spans="1:14" ht="19.5" customHeight="1" thickBot="1">
      <c r="A28" s="1126"/>
      <c r="B28" s="1127" t="s">
        <v>0</v>
      </c>
      <c r="C28" s="1283"/>
      <c r="D28" s="1277"/>
      <c r="E28" s="1277"/>
      <c r="F28" s="1277"/>
      <c r="G28" s="1277"/>
      <c r="H28" s="1277"/>
      <c r="I28" s="1280"/>
      <c r="J28" s="1277"/>
      <c r="K28" s="1271"/>
      <c r="L28" s="1274"/>
      <c r="M28" s="1274"/>
      <c r="N28" s="1274"/>
    </row>
    <row r="29" spans="1:14" ht="19.5" customHeight="1">
      <c r="A29" s="1128"/>
      <c r="B29" s="1129"/>
      <c r="C29" s="1130"/>
      <c r="D29" s="1130"/>
      <c r="E29" s="1130"/>
      <c r="F29" s="1130"/>
      <c r="G29" s="1130"/>
      <c r="H29" s="1130"/>
      <c r="I29" s="1130"/>
      <c r="J29" s="1130"/>
      <c r="K29" s="1130"/>
      <c r="L29" s="1131"/>
      <c r="M29" s="1132"/>
      <c r="N29" s="1133"/>
    </row>
    <row r="30" spans="1:14" ht="19.5" customHeight="1" thickBot="1">
      <c r="A30" s="1128"/>
      <c r="B30" s="1134"/>
      <c r="C30" s="1135"/>
      <c r="D30" s="1135"/>
      <c r="E30" s="1135"/>
      <c r="F30" s="1135"/>
      <c r="G30" s="1135"/>
      <c r="H30" s="1135"/>
      <c r="I30" s="1135"/>
      <c r="J30" s="1135"/>
      <c r="K30" s="1135"/>
      <c r="L30" s="1131"/>
      <c r="M30" s="1132"/>
      <c r="N30" s="1133"/>
    </row>
    <row r="31" spans="1:14" s="1139" customFormat="1" ht="25.5" customHeight="1" thickBot="1">
      <c r="A31" s="1264"/>
      <c r="B31" s="1265"/>
      <c r="C31" s="1136"/>
      <c r="D31" s="1136"/>
      <c r="E31" s="1136"/>
      <c r="F31" s="1136"/>
      <c r="G31" s="1136"/>
      <c r="H31" s="1136"/>
      <c r="I31" s="1136"/>
      <c r="J31" s="1136"/>
      <c r="K31" s="1136"/>
      <c r="L31" s="1137"/>
      <c r="M31" s="1137"/>
      <c r="N31" s="1138"/>
    </row>
    <row r="32" spans="1:13" s="1142" customFormat="1" ht="19.5" customHeight="1">
      <c r="A32" s="1266"/>
      <c r="B32" s="1267"/>
      <c r="C32" s="1267"/>
      <c r="D32" s="1267"/>
      <c r="E32" s="1267"/>
      <c r="F32" s="1267"/>
      <c r="G32" s="1267"/>
      <c r="H32" s="1267"/>
      <c r="I32" s="1267"/>
      <c r="J32" s="1267"/>
      <c r="K32" s="1267"/>
      <c r="L32" s="1141"/>
      <c r="M32" s="1141"/>
    </row>
    <row r="33" spans="1:13" s="1142" customFormat="1" ht="19.5" customHeight="1">
      <c r="A33" s="1140"/>
      <c r="B33" s="1141"/>
      <c r="C33" s="1141"/>
      <c r="D33" s="1141"/>
      <c r="E33" s="1141"/>
      <c r="F33" s="1141"/>
      <c r="G33" s="1141"/>
      <c r="H33" s="1141"/>
      <c r="I33" s="1141"/>
      <c r="J33" s="1141"/>
      <c r="K33" s="1141"/>
      <c r="L33" s="1141"/>
      <c r="M33" s="1141"/>
    </row>
    <row r="34" spans="1:14" s="653" customFormat="1" ht="18">
      <c r="A34" s="1156" t="s">
        <v>2410</v>
      </c>
      <c r="B34" s="1156"/>
      <c r="C34" s="1157"/>
      <c r="E34" s="1157"/>
      <c r="F34" s="1157" t="s">
        <v>3</v>
      </c>
      <c r="G34" s="1157"/>
      <c r="H34" s="1157"/>
      <c r="I34" s="1157"/>
      <c r="J34" s="1157"/>
      <c r="K34" s="1157"/>
      <c r="L34" s="1263" t="s">
        <v>1573</v>
      </c>
      <c r="M34" s="1263"/>
      <c r="N34" s="1263"/>
    </row>
    <row r="35" spans="1:13" ht="17.25" customHeight="1" hidden="1">
      <c r="A35" s="1268"/>
      <c r="B35" s="1268"/>
      <c r="C35" s="1268"/>
      <c r="D35" s="1268"/>
      <c r="E35" s="1268"/>
      <c r="F35" s="1268"/>
      <c r="G35" s="1268"/>
      <c r="H35" s="1268"/>
      <c r="I35" s="1268"/>
      <c r="J35" s="1268"/>
      <c r="K35" s="1268"/>
      <c r="L35" s="1146"/>
      <c r="M35" s="1146"/>
    </row>
    <row r="36" spans="1:13" ht="15.75">
      <c r="A36" s="1147"/>
      <c r="B36" s="1143"/>
      <c r="C36" s="1148"/>
      <c r="D36" s="1148"/>
      <c r="E36" s="1148"/>
      <c r="F36" s="1148"/>
      <c r="G36" s="1148"/>
      <c r="H36" s="1148"/>
      <c r="I36" s="1148"/>
      <c r="J36" s="1148"/>
      <c r="K36" s="1145"/>
      <c r="L36" s="1145"/>
      <c r="M36" s="1145"/>
    </row>
    <row r="37" spans="1:13" ht="15">
      <c r="A37" s="1147"/>
      <c r="B37" s="1142"/>
      <c r="C37" s="1147"/>
      <c r="D37" s="1147"/>
      <c r="E37" s="1147"/>
      <c r="F37" s="1147"/>
      <c r="G37" s="1147"/>
      <c r="H37" s="1147"/>
      <c r="I37" s="1147"/>
      <c r="J37" s="1147"/>
      <c r="K37" s="1145"/>
      <c r="L37" s="1145"/>
      <c r="M37" s="1145"/>
    </row>
    <row r="38" spans="1:13" ht="16.5" customHeight="1">
      <c r="A38" s="1147"/>
      <c r="B38" s="1142"/>
      <c r="C38" s="1149"/>
      <c r="D38" s="1149"/>
      <c r="E38" s="1149"/>
      <c r="F38" s="1149"/>
      <c r="G38" s="1149"/>
      <c r="H38" s="1149"/>
      <c r="I38" s="1149"/>
      <c r="J38" s="1149"/>
      <c r="K38" s="1145"/>
      <c r="L38" s="1145"/>
      <c r="M38" s="1145"/>
    </row>
    <row r="39" spans="1:13" ht="15">
      <c r="A39" s="1147"/>
      <c r="B39" s="1142"/>
      <c r="C39" s="1149"/>
      <c r="D39" s="1149"/>
      <c r="E39" s="1149"/>
      <c r="F39" s="1149"/>
      <c r="G39" s="1149"/>
      <c r="H39" s="1149"/>
      <c r="I39" s="1149"/>
      <c r="J39" s="1149"/>
      <c r="K39" s="1145"/>
      <c r="L39" s="1145"/>
      <c r="M39" s="1145"/>
    </row>
    <row r="40" spans="1:13" ht="15">
      <c r="A40" s="1147"/>
      <c r="B40" s="1142"/>
      <c r="C40" s="1149"/>
      <c r="D40" s="1149"/>
      <c r="E40" s="1149"/>
      <c r="F40" s="1149"/>
      <c r="G40" s="1149"/>
      <c r="H40" s="1149"/>
      <c r="I40" s="1149"/>
      <c r="J40" s="1149"/>
      <c r="K40" s="1145"/>
      <c r="L40" s="1145"/>
      <c r="M40" s="1145"/>
    </row>
    <row r="41" spans="1:13" ht="15">
      <c r="A41" s="1147"/>
      <c r="B41" s="1142" t="s">
        <v>1361</v>
      </c>
      <c r="C41" s="1149"/>
      <c r="D41" s="1149"/>
      <c r="E41" s="1149"/>
      <c r="F41" s="1149"/>
      <c r="G41" s="1149"/>
      <c r="H41" s="1149"/>
      <c r="I41" s="1149"/>
      <c r="J41" s="1149"/>
      <c r="K41" s="1145"/>
      <c r="L41" s="1145"/>
      <c r="M41" s="1145"/>
    </row>
    <row r="42" spans="1:13" ht="15">
      <c r="A42" s="1147"/>
      <c r="B42" s="1142"/>
      <c r="C42" s="1149"/>
      <c r="D42" s="1149"/>
      <c r="E42" s="1149"/>
      <c r="F42" s="1149"/>
      <c r="G42" s="1149"/>
      <c r="H42" s="1149"/>
      <c r="I42" s="1149"/>
      <c r="J42" s="1149"/>
      <c r="K42" s="1145"/>
      <c r="L42" s="1145"/>
      <c r="M42" s="1145"/>
    </row>
    <row r="43" spans="1:13" ht="15">
      <c r="A43" s="1147"/>
      <c r="B43" s="1142"/>
      <c r="C43" s="1149"/>
      <c r="D43" s="1149"/>
      <c r="E43" s="1149"/>
      <c r="F43" s="1149"/>
      <c r="G43" s="1149"/>
      <c r="H43" s="1149"/>
      <c r="I43" s="1149"/>
      <c r="J43" s="1149"/>
      <c r="K43" s="1145"/>
      <c r="L43" s="1145"/>
      <c r="M43" s="1145"/>
    </row>
    <row r="44" spans="1:13" ht="15">
      <c r="A44" s="1147"/>
      <c r="B44" s="1142"/>
      <c r="C44" s="1149"/>
      <c r="D44" s="1149"/>
      <c r="E44" s="1149"/>
      <c r="F44" s="1149"/>
      <c r="G44" s="1149"/>
      <c r="H44" s="1149"/>
      <c r="I44" s="1149"/>
      <c r="J44" s="1149"/>
      <c r="K44" s="1145"/>
      <c r="L44" s="1145"/>
      <c r="M44" s="1145"/>
    </row>
    <row r="45" spans="1:13" ht="15">
      <c r="A45" s="1147"/>
      <c r="B45" s="1142"/>
      <c r="C45" s="1149"/>
      <c r="D45" s="1149"/>
      <c r="E45" s="1149"/>
      <c r="F45" s="1149"/>
      <c r="G45" s="1149"/>
      <c r="H45" s="1149"/>
      <c r="I45" s="1149"/>
      <c r="J45" s="1149"/>
      <c r="K45" s="1145"/>
      <c r="L45" s="1145"/>
      <c r="M45" s="1145"/>
    </row>
    <row r="46" spans="1:13" ht="15">
      <c r="A46" s="1147"/>
      <c r="B46" s="1142"/>
      <c r="C46" s="1149"/>
      <c r="D46" s="1149"/>
      <c r="E46" s="1149"/>
      <c r="F46" s="1149"/>
      <c r="G46" s="1149"/>
      <c r="H46" s="1149"/>
      <c r="I46" s="1149"/>
      <c r="J46" s="1149"/>
      <c r="K46" s="1145"/>
      <c r="L46" s="1145"/>
      <c r="M46" s="1145"/>
    </row>
    <row r="47" spans="1:13" ht="15.75">
      <c r="A47" s="1147"/>
      <c r="B47" s="1142"/>
      <c r="C47" s="1150"/>
      <c r="D47" s="1150"/>
      <c r="E47" s="1150"/>
      <c r="F47" s="1150"/>
      <c r="G47" s="1150"/>
      <c r="H47" s="1150"/>
      <c r="I47" s="1150"/>
      <c r="J47" s="1150"/>
      <c r="K47" s="1145"/>
      <c r="L47" s="1145"/>
      <c r="M47" s="1145"/>
    </row>
    <row r="48" spans="1:13" ht="15.75">
      <c r="A48" s="1147"/>
      <c r="B48" s="1142"/>
      <c r="C48" s="1150"/>
      <c r="D48" s="1150"/>
      <c r="E48" s="1150"/>
      <c r="F48" s="1150"/>
      <c r="G48" s="1150"/>
      <c r="H48" s="1150"/>
      <c r="I48" s="1150"/>
      <c r="J48" s="1150"/>
      <c r="K48" s="1145"/>
      <c r="L48" s="1145"/>
      <c r="M48" s="1145"/>
    </row>
    <row r="49" spans="1:13" ht="15.75">
      <c r="A49" s="1147"/>
      <c r="B49" s="1144"/>
      <c r="C49" s="1150"/>
      <c r="D49" s="1150"/>
      <c r="E49" s="1150"/>
      <c r="F49" s="1150"/>
      <c r="G49" s="1150"/>
      <c r="H49" s="1150"/>
      <c r="I49" s="1150"/>
      <c r="J49" s="1150"/>
      <c r="K49" s="1145"/>
      <c r="L49" s="1145"/>
      <c r="M49" s="1145"/>
    </row>
    <row r="50" spans="1:13" ht="15.75">
      <c r="A50" s="1147"/>
      <c r="B50" s="1142"/>
      <c r="C50" s="1150"/>
      <c r="D50" s="1150"/>
      <c r="E50" s="1150"/>
      <c r="F50" s="1150"/>
      <c r="G50" s="1150"/>
      <c r="H50" s="1150"/>
      <c r="I50" s="1150"/>
      <c r="J50" s="1150"/>
      <c r="K50" s="1145"/>
      <c r="L50" s="1145"/>
      <c r="M50" s="1145"/>
    </row>
    <row r="51" spans="1:10" ht="15">
      <c r="A51" s="1151"/>
      <c r="B51" s="436"/>
      <c r="C51" s="436"/>
      <c r="D51" s="436"/>
      <c r="E51" s="436"/>
      <c r="F51" s="436"/>
      <c r="G51" s="436"/>
      <c r="H51" s="436"/>
      <c r="I51" s="436"/>
      <c r="J51" s="436"/>
    </row>
    <row r="52" spans="1:10" ht="15.75">
      <c r="A52" s="1152"/>
      <c r="B52" s="1153"/>
      <c r="C52" s="1154"/>
      <c r="D52" s="1154"/>
      <c r="E52" s="1154"/>
      <c r="F52" s="1154"/>
      <c r="G52" s="1154"/>
      <c r="H52" s="1154"/>
      <c r="I52" s="1154"/>
      <c r="J52" s="1154"/>
    </row>
    <row r="53" spans="1:10" ht="15">
      <c r="A53" s="1151"/>
      <c r="B53" s="436"/>
      <c r="C53" s="436"/>
      <c r="D53" s="436"/>
      <c r="E53" s="436"/>
      <c r="F53" s="436"/>
      <c r="G53" s="436"/>
      <c r="H53" s="436"/>
      <c r="I53" s="436"/>
      <c r="J53" s="436"/>
    </row>
    <row r="54" spans="1:10" ht="15.75">
      <c r="A54" s="1152"/>
      <c r="B54" s="436"/>
      <c r="C54" s="436"/>
      <c r="D54" s="436"/>
      <c r="E54" s="436"/>
      <c r="F54" s="436"/>
      <c r="G54" s="436"/>
      <c r="H54" s="436"/>
      <c r="I54" s="436"/>
      <c r="J54" s="436"/>
    </row>
    <row r="55" spans="1:10" ht="15.75">
      <c r="A55" s="1151"/>
      <c r="B55" s="1153"/>
      <c r="C55" s="436"/>
      <c r="D55" s="436"/>
      <c r="E55" s="436"/>
      <c r="F55" s="436"/>
      <c r="G55" s="436"/>
      <c r="H55" s="436"/>
      <c r="I55" s="436"/>
      <c r="J55" s="436"/>
    </row>
    <row r="56" spans="1:10" ht="15.75">
      <c r="A56" s="1152"/>
      <c r="B56" s="1153"/>
      <c r="C56" s="436"/>
      <c r="D56" s="436"/>
      <c r="E56" s="436"/>
      <c r="F56" s="436"/>
      <c r="G56" s="436"/>
      <c r="H56" s="436"/>
      <c r="I56" s="436"/>
      <c r="J56" s="436"/>
    </row>
    <row r="57" spans="1:10" ht="15.75">
      <c r="A57" s="1151"/>
      <c r="B57" s="1153"/>
      <c r="C57" s="436"/>
      <c r="D57" s="436"/>
      <c r="E57" s="436"/>
      <c r="F57" s="436"/>
      <c r="G57" s="436"/>
      <c r="H57" s="436"/>
      <c r="I57" s="436"/>
      <c r="J57" s="436"/>
    </row>
    <row r="58" ht="12.75">
      <c r="B58" s="286"/>
    </row>
    <row r="59" ht="12.75">
      <c r="B59" s="286"/>
    </row>
    <row r="60" ht="12.75">
      <c r="B60" s="286"/>
    </row>
  </sheetData>
  <mergeCells count="37">
    <mergeCell ref="M2:N2"/>
    <mergeCell ref="B4:M4"/>
    <mergeCell ref="A7:A10"/>
    <mergeCell ref="B7:B10"/>
    <mergeCell ref="C7:H7"/>
    <mergeCell ref="I7:K8"/>
    <mergeCell ref="L7:N8"/>
    <mergeCell ref="C8:E8"/>
    <mergeCell ref="F8:H8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L26:L28"/>
    <mergeCell ref="M26:M28"/>
    <mergeCell ref="N26:N28"/>
    <mergeCell ref="L34:N34"/>
    <mergeCell ref="A31:B31"/>
    <mergeCell ref="A32:K32"/>
    <mergeCell ref="A35:K35"/>
  </mergeCells>
  <printOptions/>
  <pageMargins left="0.75" right="0.75" top="1" bottom="1" header="0.4921259845" footer="0.4921259845"/>
  <pageSetup fitToHeight="1" fitToWidth="1" horizontalDpi="600" verticalDpi="600" orientation="landscape" paperSize="9" scale="54" r:id="rId1"/>
  <headerFooter alignWithMargins="0">
    <oddFooter>&amp;C&amp;14&amp;P+179&amp;11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Landsingerova</cp:lastModifiedBy>
  <cp:lastPrinted>2009-03-11T15:02:04Z</cp:lastPrinted>
  <dcterms:created xsi:type="dcterms:W3CDTF">2005-01-31T11:59:30Z</dcterms:created>
  <dcterms:modified xsi:type="dcterms:W3CDTF">2009-03-11T15:03:15Z</dcterms:modified>
  <cp:category/>
  <cp:version/>
  <cp:contentType/>
  <cp:contentStatus/>
</cp:coreProperties>
</file>