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88" windowWidth="12120" windowHeight="8832" tabRatio="928" activeTab="0"/>
  </bookViews>
  <sheets>
    <sheet name="tab9-příjmy" sheetId="1" r:id="rId1"/>
    <sheet name="tab9-1-HZS" sheetId="2" r:id="rId2"/>
    <sheet name="tab10-důchody" sheetId="3" r:id="rId3"/>
    <sheet name="tab11-dávky" sheetId="4" r:id="rId4"/>
    <sheet name="tab12-adresné" sheetId="5" r:id="rId5"/>
    <sheet name="tab12-1-oss" sheetId="6" r:id="rId6"/>
    <sheet name="tab13-provoz" sheetId="7" r:id="rId7"/>
    <sheet name="tab13-1-oss" sheetId="8" r:id="rId8"/>
    <sheet name="tab14-fin.pr." sheetId="9" r:id="rId9"/>
    <sheet name="tab14-1" sheetId="10" r:id="rId10"/>
    <sheet name="tab14-2" sheetId="11" r:id="rId11"/>
    <sheet name="tab15-provoz.zál." sheetId="12" r:id="rId12"/>
    <sheet name="tab16-pohl." sheetId="13" r:id="rId13"/>
    <sheet name="tab17-mimor." sheetId="14" r:id="rId14"/>
    <sheet name="tab18-RF" sheetId="15" r:id="rId15"/>
    <sheet name="tab18-1RF-HZS kr." sheetId="16" r:id="rId16"/>
    <sheet name="tab19-Phare" sheetId="17" r:id="rId17"/>
    <sheet name="tab20-HZS" sheetId="18" r:id="rId18"/>
    <sheet name="tab21-pol.šk." sheetId="19" r:id="rId19"/>
    <sheet name="tab22-arch." sheetId="20" r:id="rId20"/>
    <sheet name="tab23-celk.v." sheetId="21" r:id="rId21"/>
    <sheet name="tab24-celk.v.-Q" sheetId="22" r:id="rId22"/>
    <sheet name="tab24-1 BV-Q" sheetId="23" r:id="rId23"/>
    <sheet name="tab24-2 fin.pr.-Q" sheetId="24" r:id="rId24"/>
    <sheet name="tab24-3 v+v-Q" sheetId="25" r:id="rId25"/>
    <sheet name="tab25 přehled čerp." sheetId="26" r:id="rId26"/>
    <sheet name="tab26 bezupl.př.maj." sheetId="27" r:id="rId27"/>
    <sheet name="org.schéma" sheetId="28" r:id="rId28"/>
  </sheets>
  <definedNames>
    <definedName name="_xlnm.Print_Titles" localSheetId="5">'tab12-1-oss'!$A:$A</definedName>
    <definedName name="_xlnm.Print_Titles" localSheetId="16">'tab19-Phare'!$2:$8</definedName>
  </definedNames>
  <calcPr fullCalcOnLoad="1"/>
</workbook>
</file>

<file path=xl/comments19.xml><?xml version="1.0" encoding="utf-8"?>
<comments xmlns="http://schemas.openxmlformats.org/spreadsheetml/2006/main">
  <authors>
    <author>MAL</author>
  </authors>
  <commentList>
    <comment ref="Q11" authorId="0">
      <text>
        <r>
          <rPr>
            <b/>
            <sz val="8"/>
            <rFont val="Tahoma"/>
            <family val="0"/>
          </rPr>
          <t>MAL:</t>
        </r>
        <r>
          <rPr>
            <sz val="8"/>
            <rFont val="Tahoma"/>
            <family val="0"/>
          </rPr>
          <t xml:space="preserve">
bez 2113227 mimorozp. zdroje omylem dvakrát</t>
        </r>
      </text>
    </comment>
  </commentList>
</comments>
</file>

<file path=xl/sharedStrings.xml><?xml version="1.0" encoding="utf-8"?>
<sst xmlns="http://schemas.openxmlformats.org/spreadsheetml/2006/main" count="9098" uniqueCount="4144">
  <si>
    <t>Havlíčkův Brod ÚO - hydraulické bourací kladivo k agregátu JIVOMAT</t>
  </si>
  <si>
    <t>Světlá nad Sázavou PS - dýchací přístroje AUER</t>
  </si>
  <si>
    <t>2142134080</t>
  </si>
  <si>
    <t>Jihlava ÚO - nafukovací člun</t>
  </si>
  <si>
    <t>Jihlava ÚO - nákladní přívěs AGADOS</t>
  </si>
  <si>
    <t>2142134082</t>
  </si>
  <si>
    <t>Telč PS - plovoucí čerpadlo</t>
  </si>
  <si>
    <t>2142134083</t>
  </si>
  <si>
    <t>Jihlava ÚO - elektrocentrála S 12000</t>
  </si>
  <si>
    <t>2142134084</t>
  </si>
  <si>
    <t>Pelhřimov CPS - elektrický naviják</t>
  </si>
  <si>
    <t>2142134085</t>
  </si>
  <si>
    <t>Pelhřimov ÚO - tlaková vzduchová přečerpávací stanice</t>
  </si>
  <si>
    <t>2142134086</t>
  </si>
  <si>
    <t>Pelhřimov CPS - vysokotlaký mycí agregát s ohřevem vody</t>
  </si>
  <si>
    <t>2142134087</t>
  </si>
  <si>
    <t>Humpolec PS - dýchací přístroje Dräger</t>
  </si>
  <si>
    <t>2142134088</t>
  </si>
  <si>
    <t>Třebíč ÚO - osobní automobil</t>
  </si>
  <si>
    <t>2142134089</t>
  </si>
  <si>
    <t>Žďár nad Sázavou ÚO - osobní automobil</t>
  </si>
  <si>
    <t>2142134090</t>
  </si>
  <si>
    <t>Technické zhodnocení automobilového žebříku AZ 30</t>
  </si>
  <si>
    <t>2142134091</t>
  </si>
  <si>
    <t>Nákup CAS</t>
  </si>
  <si>
    <t>2142134092</t>
  </si>
  <si>
    <t>Obnova RZA</t>
  </si>
  <si>
    <t>2142134093</t>
  </si>
  <si>
    <t>Rekonstrukce CAS</t>
  </si>
  <si>
    <t>2142134094</t>
  </si>
  <si>
    <t>Břeclav ÚO - rekonstrukce CAS K 25 - L 101</t>
  </si>
  <si>
    <t>2142134095</t>
  </si>
  <si>
    <t>Brno - nosič kontejnerů nad 7,5 t</t>
  </si>
  <si>
    <t>2142134096</t>
  </si>
  <si>
    <t>2142134097</t>
  </si>
  <si>
    <t>2142134098</t>
  </si>
  <si>
    <t>UTS - Zlín - kamerový systém</t>
  </si>
  <si>
    <t>2142134099</t>
  </si>
  <si>
    <t>Zlín - zkušební zařízení dýchacích přístrojů a chemických obleků</t>
  </si>
  <si>
    <t>2142134100</t>
  </si>
  <si>
    <t>Zlín - oděvy proti sálavému teplu</t>
  </si>
  <si>
    <t>2142134101</t>
  </si>
  <si>
    <t>Hydraulická vyprošťovací zařízení</t>
  </si>
  <si>
    <t>2142134102</t>
  </si>
  <si>
    <t>Kontejner pro nouzové ubytování</t>
  </si>
  <si>
    <t>2142134103</t>
  </si>
  <si>
    <t>2142134104</t>
  </si>
  <si>
    <t>Přetlakový ventilátor</t>
  </si>
  <si>
    <t>2142134105</t>
  </si>
  <si>
    <t>Zkušební zařízení pro měření teploty vznícení</t>
  </si>
  <si>
    <t>2142134106</t>
  </si>
  <si>
    <t>Projekční sestava</t>
  </si>
  <si>
    <t>2142134107</t>
  </si>
  <si>
    <t>2142134108</t>
  </si>
  <si>
    <t>Technický automobil protiplynový</t>
  </si>
  <si>
    <t>2142134109</t>
  </si>
  <si>
    <t>Pořízení CAS 24 základní</t>
  </si>
  <si>
    <t>2142134110</t>
  </si>
  <si>
    <t>Pořízení vyprošťovacího jeřábu AV 30</t>
  </si>
  <si>
    <t>2142134111</t>
  </si>
  <si>
    <t>Technické zhodnocení AŽ 30</t>
  </si>
  <si>
    <t>2142134112</t>
  </si>
  <si>
    <t>2142134113</t>
  </si>
  <si>
    <t>Kontejner technický</t>
  </si>
  <si>
    <t>2142134114</t>
  </si>
  <si>
    <t>2142134116</t>
  </si>
  <si>
    <t>Technické zhodnocení automobilového žebříku</t>
  </si>
  <si>
    <t>2142134117</t>
  </si>
  <si>
    <t>2142134118</t>
  </si>
  <si>
    <t>Technické zhodnocení CAS 32-T 815</t>
  </si>
  <si>
    <t>2142134119</t>
  </si>
  <si>
    <t>Cisternová automobilová stříkačka CAS 24</t>
  </si>
  <si>
    <t>2142134120</t>
  </si>
  <si>
    <t>2142134121</t>
  </si>
  <si>
    <t>Pořízení CAS 24 K</t>
  </si>
  <si>
    <t>2142134122</t>
  </si>
  <si>
    <t>Rekonstrukce požární techniky T 815 CAS 32</t>
  </si>
  <si>
    <t>2142134123</t>
  </si>
  <si>
    <t>Rekonstrukce CAS 32 - T 815</t>
  </si>
  <si>
    <t>2142134124</t>
  </si>
  <si>
    <t>2142134125</t>
  </si>
  <si>
    <t>Velitelský automobil</t>
  </si>
  <si>
    <t>2142134126</t>
  </si>
  <si>
    <t>Protiplynový kontejner</t>
  </si>
  <si>
    <t>2142134129</t>
  </si>
  <si>
    <t>Pořízení CAS 24 - základní</t>
  </si>
  <si>
    <t>2142134130</t>
  </si>
  <si>
    <t>2142134131</t>
  </si>
  <si>
    <t>2142134132</t>
  </si>
  <si>
    <t>Náhradní zdroj pro KOPIS</t>
  </si>
  <si>
    <t>2142134133</t>
  </si>
  <si>
    <t>Cisternová automobilová stříkačka speciální</t>
  </si>
  <si>
    <t>2142134134</t>
  </si>
  <si>
    <t>Rychlý zásahový automobil</t>
  </si>
  <si>
    <t>2142134136</t>
  </si>
  <si>
    <t>2142134137</t>
  </si>
  <si>
    <t>Automobilový žebřík AZ 30</t>
  </si>
  <si>
    <t>2142134139</t>
  </si>
  <si>
    <t>2142134140</t>
  </si>
  <si>
    <t>Rekonstrukce nástavby CAS</t>
  </si>
  <si>
    <t>2142134141</t>
  </si>
  <si>
    <t>2142134142</t>
  </si>
  <si>
    <t>Automobilový žebřík</t>
  </si>
  <si>
    <t>2142134143</t>
  </si>
  <si>
    <t>Chemický kontejner</t>
  </si>
  <si>
    <t>2142134144</t>
  </si>
  <si>
    <t>Kontejner chemický</t>
  </si>
  <si>
    <t>2142134146</t>
  </si>
  <si>
    <t>Pořízení technologie varny školní kuchyně</t>
  </si>
  <si>
    <t>2142134148</t>
  </si>
  <si>
    <t>Technické zhodnocení nástavby vyprošťovacího jeřábu AV-30</t>
  </si>
  <si>
    <t>2142134149</t>
  </si>
  <si>
    <t>Pěnový hasící automobil</t>
  </si>
  <si>
    <t>2142134150</t>
  </si>
  <si>
    <t>Technické zhodnocení 3 ks AZ 30</t>
  </si>
  <si>
    <t>2142134151</t>
  </si>
  <si>
    <t>Provedení vnitří zástavby vozidla</t>
  </si>
  <si>
    <t>2142134152</t>
  </si>
  <si>
    <t>Pneumatické vyprošťovací zařízení</t>
  </si>
  <si>
    <t>2142134153</t>
  </si>
  <si>
    <t>Pořízení osobních automobilů</t>
  </si>
  <si>
    <t>2142134154</t>
  </si>
  <si>
    <t>Pořízení dýchací techniky</t>
  </si>
  <si>
    <t>2142134155</t>
  </si>
  <si>
    <t>Vysokotlaký horkovodní mycí stroj WAP</t>
  </si>
  <si>
    <t>2142134156</t>
  </si>
  <si>
    <t>Frankovací stroj pro KŘ</t>
  </si>
  <si>
    <t>2142134157</t>
  </si>
  <si>
    <t>Technické zhodnocení vysokotlakého plnícího zařízení</t>
  </si>
  <si>
    <t>2142134158</t>
  </si>
  <si>
    <t>Technické zhodnocení AZ 30</t>
  </si>
  <si>
    <t>2142134159</t>
  </si>
  <si>
    <t>2142134160</t>
  </si>
  <si>
    <t>2142134161</t>
  </si>
  <si>
    <t>Termokamery</t>
  </si>
  <si>
    <t>2142134162</t>
  </si>
  <si>
    <t>Věcné prostředky PO k dovybavení CAS</t>
  </si>
  <si>
    <t>2142134163</t>
  </si>
  <si>
    <t>Prostředky pro činnost mobilní monitorovací skupiny</t>
  </si>
  <si>
    <t>2142134164</t>
  </si>
  <si>
    <t>Rekonstrukce CAS K25</t>
  </si>
  <si>
    <t>2142134166</t>
  </si>
  <si>
    <t>Nákup automobilu Š Fabia COMBI</t>
  </si>
  <si>
    <t>2142134167</t>
  </si>
  <si>
    <t>Pořízení CAS na hašení lesních požárů</t>
  </si>
  <si>
    <t>2142134168</t>
  </si>
  <si>
    <t>Věcné prostředky PO-stroje a zařízení</t>
  </si>
  <si>
    <t>2142134169</t>
  </si>
  <si>
    <t>Šroubový kompresor</t>
  </si>
  <si>
    <t>2142134170</t>
  </si>
  <si>
    <t>Izolační vzduchový dýchací přístroj přetlakový</t>
  </si>
  <si>
    <t>2142134171</t>
  </si>
  <si>
    <t>Automobil osobní</t>
  </si>
  <si>
    <t>2142134172</t>
  </si>
  <si>
    <t>Průmyslová pračka</t>
  </si>
  <si>
    <t>2142134173</t>
  </si>
  <si>
    <t>Nákup podvozku T 815</t>
  </si>
  <si>
    <t>2142134174</t>
  </si>
  <si>
    <t>Termovizní kamera</t>
  </si>
  <si>
    <t>2142134175</t>
  </si>
  <si>
    <t>Pěnový kontejner</t>
  </si>
  <si>
    <t>2142134176</t>
  </si>
  <si>
    <t>CAS K25 L 101 - zánovní</t>
  </si>
  <si>
    <t>2142134177</t>
  </si>
  <si>
    <t>2142134178</t>
  </si>
  <si>
    <t>Pořízení 6 ks osobních automobilů</t>
  </si>
  <si>
    <t>2142134179</t>
  </si>
  <si>
    <t>Pracovní sněžný skútr</t>
  </si>
  <si>
    <t>2142134180</t>
  </si>
  <si>
    <t>Vysokotlaký kompresor</t>
  </si>
  <si>
    <t>2142134181</t>
  </si>
  <si>
    <t>Velitelské automobily</t>
  </si>
  <si>
    <t>2142134182</t>
  </si>
  <si>
    <t>Dýchací technika Drager</t>
  </si>
  <si>
    <t>2142134183</t>
  </si>
  <si>
    <t>Vysoušeč protichemických obleků</t>
  </si>
  <si>
    <t>2142134184</t>
  </si>
  <si>
    <t>UTS - Systémové technické zabezpečení stanice HZS Kladno</t>
  </si>
  <si>
    <t>2142134185</t>
  </si>
  <si>
    <t>Velké Poříčí UPO - evakuační zařízení s motorem a trojnožkou</t>
  </si>
  <si>
    <t>2142134186</t>
  </si>
  <si>
    <t>Liberec ÚO - hydraulické vyprošťovací zařízení</t>
  </si>
  <si>
    <t>2142134187</t>
  </si>
  <si>
    <t>2142134188</t>
  </si>
  <si>
    <t>Kontejner nouzového přežití</t>
  </si>
  <si>
    <t>2142134189</t>
  </si>
  <si>
    <t>Kontejner nouzového přežití (KANP 50)</t>
  </si>
  <si>
    <t>2142134190</t>
  </si>
  <si>
    <t>Chemický kontejner včetně technických prostředků</t>
  </si>
  <si>
    <t>2142134191</t>
  </si>
  <si>
    <t>CAS 32 T815 6x6 (zánovní)</t>
  </si>
  <si>
    <t>2142134192</t>
  </si>
  <si>
    <t>Lanový naviják</t>
  </si>
  <si>
    <t>2142134193</t>
  </si>
  <si>
    <t>Pračka na hadice</t>
  </si>
  <si>
    <t>2142134194</t>
  </si>
  <si>
    <t>Osvětlovací balón</t>
  </si>
  <si>
    <t>2142134195</t>
  </si>
  <si>
    <t>Prostředky pro záchranu osob z vodní hladiny</t>
  </si>
  <si>
    <t>2142134196</t>
  </si>
  <si>
    <t>Ohřívač vody</t>
  </si>
  <si>
    <t>2142134197</t>
  </si>
  <si>
    <t>Lanový naviják na CAS K25</t>
  </si>
  <si>
    <t>2142134198</t>
  </si>
  <si>
    <t>Elektrický naviják s dálkovým kabelovým ovládáním</t>
  </si>
  <si>
    <t>2142134199</t>
  </si>
  <si>
    <t>Osobní mikrobus</t>
  </si>
  <si>
    <t>2142134200</t>
  </si>
  <si>
    <t>Vysokotlaké řezací a hasící zařízení</t>
  </si>
  <si>
    <t>2142134201</t>
  </si>
  <si>
    <t>Úklidová technika</t>
  </si>
  <si>
    <t>2142134202</t>
  </si>
  <si>
    <t>Velitelský automobil VA 2</t>
  </si>
  <si>
    <t>2142134203</t>
  </si>
  <si>
    <t>Prostředky pro likvidaci havárií</t>
  </si>
  <si>
    <t>2142134204</t>
  </si>
  <si>
    <t>CAS 32 T 815 6x6 (zánovní)</t>
  </si>
  <si>
    <t>2142134205</t>
  </si>
  <si>
    <t>Výbava CAS 24</t>
  </si>
  <si>
    <t>2142134206</t>
  </si>
  <si>
    <t>Reprodukce strojů a zařízení GŘ HZS II</t>
  </si>
  <si>
    <t>2142134207</t>
  </si>
  <si>
    <t>Technické zhodnocení osobního vozidla</t>
  </si>
  <si>
    <t>2142134208</t>
  </si>
  <si>
    <t>Elektrokardiograf</t>
  </si>
  <si>
    <t>2142134209</t>
  </si>
  <si>
    <t>Náměšť nad Oslavou PS - souprava zvedacích vaků ZV</t>
  </si>
  <si>
    <t>2142134210</t>
  </si>
  <si>
    <t>214213R001</t>
  </si>
  <si>
    <t>HZS Krajů</t>
  </si>
  <si>
    <t>Celkem z 214213</t>
  </si>
  <si>
    <t>2142144001</t>
  </si>
  <si>
    <t>Řež - ÚJV</t>
  </si>
  <si>
    <t>Ústav jaderného výzkumu Řež a.s.</t>
  </si>
  <si>
    <t>2142144002</t>
  </si>
  <si>
    <t>České Budějovice Město</t>
  </si>
  <si>
    <t>Statutární město České Budějovice</t>
  </si>
  <si>
    <t>2142144003</t>
  </si>
  <si>
    <t>Klatovy Město</t>
  </si>
  <si>
    <t>Město Klatovy</t>
  </si>
  <si>
    <t>2142144004</t>
  </si>
  <si>
    <t>Horní Bříza Město</t>
  </si>
  <si>
    <t>2142144005</t>
  </si>
  <si>
    <t>Jirkov město</t>
  </si>
  <si>
    <t>Město Jirkov</t>
  </si>
  <si>
    <t>2142144006</t>
  </si>
  <si>
    <t>Boskovice Město</t>
  </si>
  <si>
    <t>2142144007</t>
  </si>
  <si>
    <t>Brno - město</t>
  </si>
  <si>
    <t>2142144008</t>
  </si>
  <si>
    <t>Velká nad Veličkou kordárna</t>
  </si>
  <si>
    <t>Velká nad Veličkou</t>
  </si>
  <si>
    <t>2142144009</t>
  </si>
  <si>
    <t>Rekonstrukce úkrytu CO</t>
  </si>
  <si>
    <t>Zdravotní ústav se sídlem v Jihlavě</t>
  </si>
  <si>
    <t>2142144010</t>
  </si>
  <si>
    <t>Vsetín město</t>
  </si>
  <si>
    <t>Město Vsetín</t>
  </si>
  <si>
    <t>ŽDB a.s.</t>
  </si>
  <si>
    <t>2142144012</t>
  </si>
  <si>
    <t>Havířov město</t>
  </si>
  <si>
    <t>Statutární město Havířov</t>
  </si>
  <si>
    <t>2142144013</t>
  </si>
  <si>
    <t>Odry Diamo</t>
  </si>
  <si>
    <t>Diamo</t>
  </si>
  <si>
    <t>2142144014</t>
  </si>
  <si>
    <t>Olomouc Dalkia Morava</t>
  </si>
  <si>
    <t>Dalkia Česká republika a.s.</t>
  </si>
  <si>
    <t>2142144015</t>
  </si>
  <si>
    <t>Ostrava - město Dalkia Morava</t>
  </si>
  <si>
    <t>2142144016</t>
  </si>
  <si>
    <t>Železný Brod - požární automobil CAS 24</t>
  </si>
  <si>
    <t>Město Železný Brod</t>
  </si>
  <si>
    <t>2142144017</t>
  </si>
  <si>
    <t>Hlinsko - požární automobil CAS 24</t>
  </si>
  <si>
    <t>Město Hlinsko</t>
  </si>
  <si>
    <t>2142144018</t>
  </si>
  <si>
    <t>Golčův Jeníkov - požární automobil CAS 24</t>
  </si>
  <si>
    <t>Golčův Jeníkov</t>
  </si>
  <si>
    <t>2142144019</t>
  </si>
  <si>
    <t>Slavkov u Brna - zásahové vozidlo CAS</t>
  </si>
  <si>
    <t>Slavkov u Brna</t>
  </si>
  <si>
    <t>2142144020</t>
  </si>
  <si>
    <t>Vrbno pod Pradědem - požární automobil CAS 24</t>
  </si>
  <si>
    <t>Město Vrbno pod Pradědem</t>
  </si>
  <si>
    <t>2142144021</t>
  </si>
  <si>
    <t>Drmoul - informační rozhlas CO a IZS</t>
  </si>
  <si>
    <t>Obec Drmoul</t>
  </si>
  <si>
    <t>2142144022</t>
  </si>
  <si>
    <t>Horní Slavkov - informační rozhlas CO a IZS</t>
  </si>
  <si>
    <t>Horní Slavkov</t>
  </si>
  <si>
    <t>2142144023</t>
  </si>
  <si>
    <t>Sušice - informační rozhlas COa IZS</t>
  </si>
  <si>
    <t>2142144024</t>
  </si>
  <si>
    <t>Nýrsko - informační rozhlas CO a IZS</t>
  </si>
  <si>
    <t>Nýrsko</t>
  </si>
  <si>
    <t>2142144025</t>
  </si>
  <si>
    <t>Životice - informační rozhlas CO a IZS</t>
  </si>
  <si>
    <t>Životice u Nového Jičína</t>
  </si>
  <si>
    <t>2142144026</t>
  </si>
  <si>
    <t>Vítkov - informační rozhlas CO a IZS</t>
  </si>
  <si>
    <t>Město Vítkov</t>
  </si>
  <si>
    <t>2142144027</t>
  </si>
  <si>
    <t>Loukov - informační rozhlas CO a IZS</t>
  </si>
  <si>
    <t>Loukov Obec</t>
  </si>
  <si>
    <t>2142144028</t>
  </si>
  <si>
    <t>Přemyslovice -informační rozhlas CO a IZS</t>
  </si>
  <si>
    <t>Přemyslovice</t>
  </si>
  <si>
    <t>2142144029</t>
  </si>
  <si>
    <t>Sobotín - informační rozhlas CO a IZS</t>
  </si>
  <si>
    <t>Sobotín</t>
  </si>
  <si>
    <t>2142144030</t>
  </si>
  <si>
    <t>Kuřim - výstavba IVVS - 2. fáze</t>
  </si>
  <si>
    <t>Kuřim</t>
  </si>
  <si>
    <t>2142144031</t>
  </si>
  <si>
    <t>Brankovice - výstavba koncových prvků varování</t>
  </si>
  <si>
    <t>Brankovice</t>
  </si>
  <si>
    <t>2142144032</t>
  </si>
  <si>
    <t>Blansko - rozšíření a instalace elektronických sirén</t>
  </si>
  <si>
    <t>2142144033</t>
  </si>
  <si>
    <t>Pardubice - systém varování a vyrozumění obyvatel</t>
  </si>
  <si>
    <t>2142144034</t>
  </si>
  <si>
    <t>Rychnov nad Kněžnou - komunikační prostředí s obyvatelstvem</t>
  </si>
  <si>
    <t>Město Rychnov nad Kněžnou</t>
  </si>
  <si>
    <t>2142144035</t>
  </si>
  <si>
    <t>Vamberk - instalace elektronických sirén</t>
  </si>
  <si>
    <t>Vamberk</t>
  </si>
  <si>
    <t>2142144036</t>
  </si>
  <si>
    <t>Kamýk nad Vltavou - varovací systém</t>
  </si>
  <si>
    <t>Kamýk nad Vltavou</t>
  </si>
  <si>
    <t>2142144037</t>
  </si>
  <si>
    <t>Velké Meziříčí - varovný rozhlasový systém</t>
  </si>
  <si>
    <t>Město Velké Meziříčí</t>
  </si>
  <si>
    <t>2142144038</t>
  </si>
  <si>
    <t>Hrotovice - informační rozhlas CO a IZS</t>
  </si>
  <si>
    <t>Hrotovice</t>
  </si>
  <si>
    <t>2142144039</t>
  </si>
  <si>
    <t>Obec Doudleby - rozšíření rozhlasu</t>
  </si>
  <si>
    <t>Obec Doudleby</t>
  </si>
  <si>
    <t>2142144040</t>
  </si>
  <si>
    <t>Vodňany - rozšíření stávajícího bezdrátového rozhlasu</t>
  </si>
  <si>
    <t>Město Vodňany</t>
  </si>
  <si>
    <t>2142144041</t>
  </si>
  <si>
    <t>Dopravní automobil DA8 v redukovaném provedení</t>
  </si>
  <si>
    <t>Město Týniště nad Orlicí</t>
  </si>
  <si>
    <t>2142144042</t>
  </si>
  <si>
    <t>Jedovnice hasičská zbrojnice - přístavba a nadstavba</t>
  </si>
  <si>
    <t>Obec Jedovnice</t>
  </si>
  <si>
    <t>2142144043</t>
  </si>
  <si>
    <t>Záhoří - rekonstrukce budovy hasičské zbrojnice</t>
  </si>
  <si>
    <t>obec Záhoří</t>
  </si>
  <si>
    <t>2142144044</t>
  </si>
  <si>
    <t>Měchenice - rekonstrukce hasičské zbrojnice</t>
  </si>
  <si>
    <t>Obec Měchenice</t>
  </si>
  <si>
    <t>Husinec - Řež - výstavba hasičské zbrojnice</t>
  </si>
  <si>
    <t>2142144046</t>
  </si>
  <si>
    <t>Bílá Voda - nákup požárního vozidla</t>
  </si>
  <si>
    <t>Obec Bílá Voda</t>
  </si>
  <si>
    <t>2142144047</t>
  </si>
  <si>
    <t>Sadská - rekonstrukce požární zbrojnice</t>
  </si>
  <si>
    <t>Město Sadská</t>
  </si>
  <si>
    <t>2142144048</t>
  </si>
  <si>
    <t>Libiš - výstavba hasičské zbrojnice</t>
  </si>
  <si>
    <t>Obec Libiš</t>
  </si>
  <si>
    <t>2142144049</t>
  </si>
  <si>
    <t>VŠE Praha 3 - rekonstrukce úkrytu CO č.01110001</t>
  </si>
  <si>
    <t>Vysoká škola ekonomická v Praze</t>
  </si>
  <si>
    <t>2142144050</t>
  </si>
  <si>
    <t>Písek Město - rekonstrukce úkrytu CO č.03050007</t>
  </si>
  <si>
    <t>2142144051</t>
  </si>
  <si>
    <t>Tanvald Město - pořízení požární techniky CAS 24</t>
  </si>
  <si>
    <t>Město Tanvald</t>
  </si>
  <si>
    <t>2142144053</t>
  </si>
  <si>
    <t>Hluboká nad Vltavou - rekonstrukce úkrytu CO č.03010026</t>
  </si>
  <si>
    <t>Ing. Miloš Kačenka</t>
  </si>
  <si>
    <t>Celkem z 214214</t>
  </si>
  <si>
    <t>2142170002</t>
  </si>
  <si>
    <t>PS Beroun - ČOV a myčka</t>
  </si>
  <si>
    <t>2142174001</t>
  </si>
  <si>
    <t>Kolín PS - obnovení studny</t>
  </si>
  <si>
    <t>2142174002</t>
  </si>
  <si>
    <t>Soběslav PS - rekonstrukce zařízení na likvidaci odpadních vod</t>
  </si>
  <si>
    <t>2142174003</t>
  </si>
  <si>
    <t>Soběslav - rekonstrukce vytápění</t>
  </si>
  <si>
    <t>2142174004</t>
  </si>
  <si>
    <t>Nový Bydžov PS - vybudování lapolu</t>
  </si>
  <si>
    <t>2142174005</t>
  </si>
  <si>
    <t>Hodonín CPS - rekonstrukce lapolu</t>
  </si>
  <si>
    <t>2142174006</t>
  </si>
  <si>
    <t>Kyjov PS - napojení na kanalizaci</t>
  </si>
  <si>
    <t>Celkem z 214217</t>
  </si>
  <si>
    <t>2142180003</t>
  </si>
  <si>
    <t>CAS základní</t>
  </si>
  <si>
    <t>Celkem z 214218</t>
  </si>
  <si>
    <t>2142190031</t>
  </si>
  <si>
    <t>CPS Liberec - zateplení objektu</t>
  </si>
  <si>
    <t>2142194001</t>
  </si>
  <si>
    <t>Velvary - energetický audit</t>
  </si>
  <si>
    <t>2142194002</t>
  </si>
  <si>
    <t>Olomouc ZL - energetický audit</t>
  </si>
  <si>
    <t>2142194003</t>
  </si>
  <si>
    <t>Brno OUPO - odstraňování závad dle EA</t>
  </si>
  <si>
    <t>2142194004</t>
  </si>
  <si>
    <t>Brno OUPO - objekt regulace - odstranění závad dle EA</t>
  </si>
  <si>
    <t>2142194005</t>
  </si>
  <si>
    <t>Frýdek-Místek OUPO - výcviková hala - odstranění závad dle EA</t>
  </si>
  <si>
    <t>2142194006</t>
  </si>
  <si>
    <t>Frýdek-Místek OUPO H1 - odstranění závad dle EA</t>
  </si>
  <si>
    <t>2142194007</t>
  </si>
  <si>
    <t>Borovany OUPO - odstranění závad dle EA</t>
  </si>
  <si>
    <t>Kladno PS - audit</t>
  </si>
  <si>
    <t>2142194009</t>
  </si>
  <si>
    <t>Prachatice CPS</t>
  </si>
  <si>
    <t>Soběslav PS - energetický audit</t>
  </si>
  <si>
    <t>Tachov CPS - audit</t>
  </si>
  <si>
    <t>2142194012</t>
  </si>
  <si>
    <t>Česká Kamenice PS - audit</t>
  </si>
  <si>
    <t>2142194013</t>
  </si>
  <si>
    <t>Děčín CPS - audit</t>
  </si>
  <si>
    <t>Hradec Králové KŘ - audit</t>
  </si>
  <si>
    <t>Pacov PS - audit</t>
  </si>
  <si>
    <t xml:space="preserve">Boskovice PS - audit </t>
  </si>
  <si>
    <t>Zábřeh PS - audit</t>
  </si>
  <si>
    <t>2142194018</t>
  </si>
  <si>
    <t>Třinec PS - audit</t>
  </si>
  <si>
    <t>2142194019</t>
  </si>
  <si>
    <t>Příbram PS - odstranění závad dle EA</t>
  </si>
  <si>
    <t>2142194020</t>
  </si>
  <si>
    <t>Kralupy nad Vltavou - zateplení střechy, výměna oken</t>
  </si>
  <si>
    <t>2142194021</t>
  </si>
  <si>
    <t>Rakovník  PS - odstranění závad dle EA</t>
  </si>
  <si>
    <t>2142194022</t>
  </si>
  <si>
    <t>Mělník PS - odstranění závad dle EA</t>
  </si>
  <si>
    <t>2142194023</t>
  </si>
  <si>
    <t>Slaný PS - odstranění závad dle EA</t>
  </si>
  <si>
    <t>2142194024</t>
  </si>
  <si>
    <t>Beroun PS - odstranění závad dle EA</t>
  </si>
  <si>
    <t>2142194025</t>
  </si>
  <si>
    <t>Karlovy Vary PS + ÚO - odstranění závad dle EA</t>
  </si>
  <si>
    <t>2142194026</t>
  </si>
  <si>
    <t>Ústí nad Labem PS - odstranění závad dle EA</t>
  </si>
  <si>
    <t>2142194027</t>
  </si>
  <si>
    <t>Žatec PS - odstranění závad dle EA</t>
  </si>
  <si>
    <t>Turnov PS - odstranění závad dle EA</t>
  </si>
  <si>
    <t>2142194029</t>
  </si>
  <si>
    <t>Holice PS - odstranění závad dle EA</t>
  </si>
  <si>
    <t>2142194030</t>
  </si>
  <si>
    <t>Jihlava ÚO - odstranění závad dle EA - 1.etapa</t>
  </si>
  <si>
    <t>2142194031</t>
  </si>
  <si>
    <t>Jihlava ÚO - odstranění závad dle EA - 2.etapa</t>
  </si>
  <si>
    <t>2142194032</t>
  </si>
  <si>
    <t>Uherské Hradiště CPS - odstranění závad dle EA</t>
  </si>
  <si>
    <t>2142194033</t>
  </si>
  <si>
    <t>Kroměříž SCPS - odstranění závad dle EA</t>
  </si>
  <si>
    <t>Šumperk sklad - odstranění závad dle EA</t>
  </si>
  <si>
    <t>2142194035</t>
  </si>
  <si>
    <t>Olomouc CPS - odstranění závad dle EA</t>
  </si>
  <si>
    <t>2142194036</t>
  </si>
  <si>
    <t>Karviná PS - odstranění závad dle EA</t>
  </si>
  <si>
    <t>2142194037</t>
  </si>
  <si>
    <t>SOŠ POa VOŠ Frýdek- Místek - odstranění závad dle EA</t>
  </si>
  <si>
    <t>2142194038</t>
  </si>
  <si>
    <t>Otrokovice PS,Příčná 1614 - energetický audit</t>
  </si>
  <si>
    <t>2142194039</t>
  </si>
  <si>
    <t>Kutná Hora PS - Sedlec, U Zastávky 280 - opatření z EA</t>
  </si>
  <si>
    <t>2142194040</t>
  </si>
  <si>
    <t>Dobříš HZS, Petrovičova 601- rekonstrukce kotelny, topného systému a TUV</t>
  </si>
  <si>
    <t>2142194041</t>
  </si>
  <si>
    <t>Brno HZS Cihlářská/Lidická 26, objekt SO7 - opatření vyplývající z EA</t>
  </si>
  <si>
    <t>Celkem z 214219</t>
  </si>
  <si>
    <t>Celkem z 214210</t>
  </si>
  <si>
    <t>2144110001</t>
  </si>
  <si>
    <t>Registr obyvatel-propojení matričních úřadů-PC</t>
  </si>
  <si>
    <t>CZ010903 Registr obyvatel-propojení matričních úřadů-PC</t>
  </si>
  <si>
    <t>2144110003</t>
  </si>
  <si>
    <t>PC pro obce-MD</t>
  </si>
  <si>
    <t>CZ010903 PC pro obce-MD</t>
  </si>
  <si>
    <t>2144110007</t>
  </si>
  <si>
    <t>Diskové pole FC/IDE-MD</t>
  </si>
  <si>
    <t>2144110011</t>
  </si>
  <si>
    <t>PC pro obce</t>
  </si>
  <si>
    <t>CZ010903 PC pro obce</t>
  </si>
  <si>
    <t>2144110013</t>
  </si>
  <si>
    <t>Diskové pole a optické switche SAN</t>
  </si>
  <si>
    <t>2144110014</t>
  </si>
  <si>
    <t>Databázové a aplikační servery</t>
  </si>
  <si>
    <t>2144110015</t>
  </si>
  <si>
    <t>Systémová integrace IISSDE</t>
  </si>
  <si>
    <t>2144114001</t>
  </si>
  <si>
    <t>Pracovní stanice-PC-matriky</t>
  </si>
  <si>
    <t>2144114002</t>
  </si>
  <si>
    <t>Tiskárny OKI ML 390 FB-matriky</t>
  </si>
  <si>
    <t>2144114003</t>
  </si>
  <si>
    <t>Soubor ICT pro CVS</t>
  </si>
  <si>
    <t>Celkem z 214411</t>
  </si>
  <si>
    <t>2144120007</t>
  </si>
  <si>
    <t>Sídlo Krajského úřadu Zlínského kraje - rekonstrukce budovy č.p.21</t>
  </si>
  <si>
    <t>2144120008</t>
  </si>
  <si>
    <t>Výstavba sídla obce s rozšířenou působností Šlapanice</t>
  </si>
  <si>
    <t>Město Šlapanice</t>
  </si>
  <si>
    <t>2144120009</t>
  </si>
  <si>
    <t>Rekonstrukce objektu VÚSC - jednací síň krajského zastupitelstva</t>
  </si>
  <si>
    <t>Hlavní město Praha</t>
  </si>
  <si>
    <t>Celkem z 214412</t>
  </si>
  <si>
    <t>Celkem z 214410</t>
  </si>
  <si>
    <t>Výstavba systému vládního utajeného spojení</t>
  </si>
  <si>
    <t>2145114001</t>
  </si>
  <si>
    <t>Celkem z 214511</t>
  </si>
  <si>
    <t>Celkem z 214510</t>
  </si>
  <si>
    <t>3140470076</t>
  </si>
  <si>
    <t>Internetizace Městské části Praha 13</t>
  </si>
  <si>
    <t>Městská část Praha 13</t>
  </si>
  <si>
    <t>Celkem z 314047</t>
  </si>
  <si>
    <t>Celkem z 314040</t>
  </si>
  <si>
    <t>3141210005</t>
  </si>
  <si>
    <t>Terminály policejních útvarů</t>
  </si>
  <si>
    <t>Terminály záchranných sborů</t>
  </si>
  <si>
    <t>Celkem z 314121</t>
  </si>
  <si>
    <t>3141220008</t>
  </si>
  <si>
    <t>Celkem z 314122</t>
  </si>
  <si>
    <t>3141230010</t>
  </si>
  <si>
    <t>Infrastruktura regionální sítě České Budějovice</t>
  </si>
  <si>
    <t>3141230011</t>
  </si>
  <si>
    <t>3141230012</t>
  </si>
  <si>
    <t>Celkem z 314123</t>
  </si>
  <si>
    <t>3141240013</t>
  </si>
  <si>
    <t>Infrastruktura regionální sítě Plzeň</t>
  </si>
  <si>
    <t>3141240014</t>
  </si>
  <si>
    <t>3141240015</t>
  </si>
  <si>
    <t>Celkem z 314124</t>
  </si>
  <si>
    <t>3141250016</t>
  </si>
  <si>
    <t>Infrastruktura regionálních sítí -  Severní Čechy</t>
  </si>
  <si>
    <t>3141250017</t>
  </si>
  <si>
    <t>3141250018</t>
  </si>
  <si>
    <t>Celkem z 314125</t>
  </si>
  <si>
    <t>Infrastruktura regionální sítě Hradec Králové</t>
  </si>
  <si>
    <t>3141260020</t>
  </si>
  <si>
    <t>3141260021</t>
  </si>
  <si>
    <t>Celkem z 314126</t>
  </si>
  <si>
    <t>3141270022</t>
  </si>
  <si>
    <t>Infrastruktura regionální sítě Brno</t>
  </si>
  <si>
    <t>3141270023</t>
  </si>
  <si>
    <t>3141270024</t>
  </si>
  <si>
    <t>Celkem z 314127</t>
  </si>
  <si>
    <t>3141280025</t>
  </si>
  <si>
    <t>Infrastruktura regionální sítě Ostrava</t>
  </si>
  <si>
    <t>3141280026</t>
  </si>
  <si>
    <t>3141280027</t>
  </si>
  <si>
    <t>Celkem z 314128</t>
  </si>
  <si>
    <t>Celkem z 314120</t>
  </si>
  <si>
    <t>3142130087</t>
  </si>
  <si>
    <t>OŘ PČR Strakonice - přístavba provozně správního objektu</t>
  </si>
  <si>
    <t>Mělník OŘP - zprovoznění objektu</t>
  </si>
  <si>
    <t>3142130088</t>
  </si>
  <si>
    <t>OO PČR Milín - plynofikace kotelny</t>
  </si>
  <si>
    <t xml:space="preserve">Starý Plzenec - výkup </t>
  </si>
  <si>
    <t>3142130103</t>
  </si>
  <si>
    <t>OO PČR Brno, Běhounská - rekonstrukce</t>
  </si>
  <si>
    <t>3142130124</t>
  </si>
  <si>
    <t>Praha 1 Bartolomějská 12 KÚ - stavební úpravy</t>
  </si>
  <si>
    <t>Kuřívody - stálá trhací jáma</t>
  </si>
  <si>
    <t>3142130129</t>
  </si>
  <si>
    <t>S Jmk Brno, Kounicova - stav. úpravy uvol.prostor</t>
  </si>
  <si>
    <t>3142134153</t>
  </si>
  <si>
    <t>Milovice - rekonstrukce objektu NKVD</t>
  </si>
  <si>
    <t>Celkem z 314213</t>
  </si>
  <si>
    <t>3142150300</t>
  </si>
  <si>
    <t>Znojmo - rekonstrukce ČS PHM</t>
  </si>
  <si>
    <t>Celkem z 314215</t>
  </si>
  <si>
    <t>Celkem z 314210</t>
  </si>
  <si>
    <t>SPŠ Holešov - přístavba tělocvičny B31</t>
  </si>
  <si>
    <t>Celkem z 314310</t>
  </si>
  <si>
    <t>3146110009</t>
  </si>
  <si>
    <t>GŘ HZS ČR, Kloknerova ul. - výstavba nového objektu</t>
  </si>
  <si>
    <t>Celkem z 314611</t>
  </si>
  <si>
    <t>3146120009</t>
  </si>
  <si>
    <t>Výstavba CPS I.etapa - operační středisko pro KŘ (Hradec Králové)</t>
  </si>
  <si>
    <t>Výstavba objektu pro KŘ (Pardubice)</t>
  </si>
  <si>
    <t>Rekonstrukce a přístavba budovy kasáren pro KŘ (Jihlava)</t>
  </si>
  <si>
    <t>Celkem z 314612</t>
  </si>
  <si>
    <t>Celkem z 314610</t>
  </si>
  <si>
    <t>3146211094</t>
  </si>
  <si>
    <t>STAVBA - rekonstrukce objektu Cihlářská</t>
  </si>
  <si>
    <t>3146211199</t>
  </si>
  <si>
    <t>STAVBA - výstavba CPS Rokycany</t>
  </si>
  <si>
    <t>STAVBA - dostavba CPS Jeseník</t>
  </si>
  <si>
    <t>3146211201</t>
  </si>
  <si>
    <t>CPS HZS - Teplice I. -IV. etapa</t>
  </si>
  <si>
    <t>3146212391</t>
  </si>
  <si>
    <t>STAVBA - výstavba CPS Plzeň</t>
  </si>
  <si>
    <t>STAVBA - rekonstrukce CPS Rosice</t>
  </si>
  <si>
    <t>STAVBA - výstavba CPS Česká Lípa</t>
  </si>
  <si>
    <t>Celkem z 314621</t>
  </si>
  <si>
    <t>Celkem z 314620</t>
  </si>
  <si>
    <t>Celkový součet ze kapitolu 314 bez přijatých transferů</t>
  </si>
  <si>
    <t>2335131053</t>
  </si>
  <si>
    <t>Praha 7,Stromovka-Rekonstrukce výceúčelové SH- I.etapa</t>
  </si>
  <si>
    <t>2335131054</t>
  </si>
  <si>
    <t xml:space="preserve">Praha 7,Stromovka-SZNR-Soubor 2004" </t>
  </si>
  <si>
    <t>Celkem z 233513</t>
  </si>
  <si>
    <t>Celkem z 233510</t>
  </si>
  <si>
    <t>Celkový součet za kapitolu 314 včetně přijatých transferů</t>
  </si>
  <si>
    <t xml:space="preserve">ve sloupcích R1 a R2 není zahrnuta možnost překročení závazného ukazatele o mimorozpočtové zdroje </t>
  </si>
  <si>
    <t>ve sloupci Čerpání celkem je zahrnuto i čerpání mimorozpočtových zdrojů</t>
  </si>
  <si>
    <t>PČR S Jmk Brno, Kounicova 24 - st.připravenost pro vybudování integrovaného krajského operač.stř.</t>
  </si>
  <si>
    <t>2141120183</t>
  </si>
  <si>
    <t>FKSP - LDT Jankov - prohloubení studny</t>
  </si>
  <si>
    <t>2141124001</t>
  </si>
  <si>
    <t>UTS-Praha 6, nám.Českého povstání - EKV</t>
  </si>
  <si>
    <t>2141124002</t>
  </si>
  <si>
    <t>UTS-Praha 5, E.Přemyslovny 1304 - zřízení zabezpečených oblastí D</t>
  </si>
  <si>
    <t>2141124003</t>
  </si>
  <si>
    <t>UTS-Praha 7, Strojnická 27 - zřízení zabezpečených oblastí D</t>
  </si>
  <si>
    <t>2141124004</t>
  </si>
  <si>
    <t>UTS-Praha 1, Dlážděná 6 - zřízení zabezpečených oblastí D, vjezdová závora</t>
  </si>
  <si>
    <t>UTS-Praha 5, Nádražní 16a - montáž turniketu EKV</t>
  </si>
  <si>
    <t>2141124006</t>
  </si>
  <si>
    <t>UTS-Praha 5, Zbraslav - výměna vjezd.vrat + bezpečnostní dveře 3.NP</t>
  </si>
  <si>
    <t>2141124007</t>
  </si>
  <si>
    <t>UTS-Praha 4, Kongresová 2 - rozšíření systému EKV</t>
  </si>
  <si>
    <t>2141124008</t>
  </si>
  <si>
    <t>UTS-OŘ P Praha 4, U plynárny 2 - rozšíření systému EKV</t>
  </si>
  <si>
    <t>2141124009</t>
  </si>
  <si>
    <t>OO PČR Hořovice - výstavba nového objektu</t>
  </si>
  <si>
    <t>2141124010</t>
  </si>
  <si>
    <t>OO PČR Karlštejn - plynofikace kotelny + stavební úpravy a kanalizační přípojka</t>
  </si>
  <si>
    <t>2141124011</t>
  </si>
  <si>
    <t>OO PČR Jesenice - výstavba nového objektu</t>
  </si>
  <si>
    <t>2141124012</t>
  </si>
  <si>
    <t>UTS-OŘ PČR Praha východ, Křižíkova 8, Praha 8- EKV</t>
  </si>
  <si>
    <t>2141124013</t>
  </si>
  <si>
    <t>UTS-OŘ PČR Kolín - rozšíření systému EKV</t>
  </si>
  <si>
    <t>2141124014</t>
  </si>
  <si>
    <t>UTS-OŘ PČR Benešov, ul.Čechova 1996 - EKV</t>
  </si>
  <si>
    <t>UTS-S Jčk České Budějovice, Plavská  - dobudování EKV, úprava a rozšíření vjezdu do areálu</t>
  </si>
  <si>
    <t>2141124016</t>
  </si>
  <si>
    <t>OO PČR Jindřichův Hradec - zprovoznění objektu</t>
  </si>
  <si>
    <t>2141124017</t>
  </si>
  <si>
    <t>UTS-MŘ PČR Plzeň, Klatovská 45 - rozšíření EKV</t>
  </si>
  <si>
    <t xml:space="preserve">UTS-OŘ PČR Karlovy Vary, Rolavská 1 - rozšíření EKV </t>
  </si>
  <si>
    <t>2141124019</t>
  </si>
  <si>
    <t>UTS-OŘ PČR Sokolov, Dobrovského 1936 - rozšíření EKV</t>
  </si>
  <si>
    <t>KOH-OCP Plzeň město, Macháčkova 22 - strukturovaná kabeláž</t>
  </si>
  <si>
    <t>KOH-OCP Cheb, Hálkova 30 - strukturovaná kabeláž</t>
  </si>
  <si>
    <t>2141124022</t>
  </si>
  <si>
    <t>UTS- OŘ PČR Jablonec nad Nisou - výstavba EKV</t>
  </si>
  <si>
    <t>2141124023</t>
  </si>
  <si>
    <t>KOH-Ústí nad Labem, Masarykova 27 - strukturovaná kabeláž</t>
  </si>
  <si>
    <t>2141124024</t>
  </si>
  <si>
    <t>OŘ PČR Chomutov - zprovoznění objektu po OÚ</t>
  </si>
  <si>
    <t>2141124025</t>
  </si>
  <si>
    <t>UTS- S Včk Hradec Králové, Kudrnova 115 - rozšíření EKV</t>
  </si>
  <si>
    <t>2141124026</t>
  </si>
  <si>
    <t>UTS- S Včk Hradec Králové, Ulrichovo nám. 810 - rozšíření EKV</t>
  </si>
  <si>
    <t>2141124027</t>
  </si>
  <si>
    <t>OO PČR Hradec Králové, Gočárova 1653 - stavební úpravy</t>
  </si>
  <si>
    <t>2141124028</t>
  </si>
  <si>
    <t>UTS- SZK PČR Plzeň, Nádražní 2 - rozšíření EKV</t>
  </si>
  <si>
    <t>2141124029</t>
  </si>
  <si>
    <t>UTS- SZK PČR Plzeň, Sedláčkova 44 - rozšíření EKV</t>
  </si>
  <si>
    <t>2141124030</t>
  </si>
  <si>
    <t>UTS- S Jmk Brno, Kounicova 24 - rozšíření EKV</t>
  </si>
  <si>
    <t>2141124031</t>
  </si>
  <si>
    <t>UTS-S Jmk Brno, Rezkova 7 - rozšíření EKV</t>
  </si>
  <si>
    <t>2141124032</t>
  </si>
  <si>
    <t>UTS- OŘ PČR Břeclav - rozšíření EKV</t>
  </si>
  <si>
    <t>2141124033</t>
  </si>
  <si>
    <t>UTS- MŘ PČR Brno, Zvonařka 407 (SKPV) - rozšíření EKV</t>
  </si>
  <si>
    <t>2141124034</t>
  </si>
  <si>
    <t>UTS- MŘ PČR Brno, Veveří 47,49 (SKPV) - rozšíření EKV</t>
  </si>
  <si>
    <t>2141124035</t>
  </si>
  <si>
    <t>UTS- MŘ PČR Brno, Malátova 3 (SKPV) - rozšíření EKV</t>
  </si>
  <si>
    <t>UTS- OŘ PČR Brno,-venkov, Rybářská 17 - rozšíření EKV</t>
  </si>
  <si>
    <t>2141124037</t>
  </si>
  <si>
    <t>UTS- OŘ PČR Jihlava - rozšíření EKV</t>
  </si>
  <si>
    <t>2141124038</t>
  </si>
  <si>
    <t>UTS- OŘ PČR Třebíč - rozšíření EKV</t>
  </si>
  <si>
    <t>UTS- OŘ PČR Uherské Hradiště - rozšíření EKV</t>
  </si>
  <si>
    <t>2141124040</t>
  </si>
  <si>
    <t>UTS- OŘ PČR Zlín - rozšíření EKV</t>
  </si>
  <si>
    <t>2141124041</t>
  </si>
  <si>
    <t>UTS- OŘ PČR Znojmo - rozšíření EKV</t>
  </si>
  <si>
    <t>2141124042</t>
  </si>
  <si>
    <t>UTS- OŘ PČR Žďár nad Sázavou - rozšíření EKV</t>
  </si>
  <si>
    <t>2141124043</t>
  </si>
  <si>
    <t>UTS- OŘ PČR Opava - rozšíření EKV</t>
  </si>
  <si>
    <t>2141124044</t>
  </si>
  <si>
    <t>UTS- OŘ PČR Olomouc - rozšíření EKV</t>
  </si>
  <si>
    <t>2141124045</t>
  </si>
  <si>
    <t>KOH- ObŘ SCPP Ostrava, Miličova 20 - strukturovaná kabeláž</t>
  </si>
  <si>
    <t xml:space="preserve">KOH- RCPP Bílá č.p.146 - strukturovaná kabeláž </t>
  </si>
  <si>
    <t xml:space="preserve">KOH- RCPP Mosty u Jablunkova č.p.515 - strukturovaná kabeláž </t>
  </si>
  <si>
    <t>2141124048</t>
  </si>
  <si>
    <t>KOH- ObŘ SCPP České Budějovice,Pražská 23 - strukturovaná kabeláž</t>
  </si>
  <si>
    <t>2141124049</t>
  </si>
  <si>
    <t>FKSP- Dolní Malá Úpa -chata "Spálený Mlýn" - stavební úpravy</t>
  </si>
  <si>
    <t>2141124053</t>
  </si>
  <si>
    <t>KOH- OŘ PČR Praha-západ, Zborovská 1505 - strukturovaná kabeláž</t>
  </si>
  <si>
    <t>2141124057</t>
  </si>
  <si>
    <t>KOH-RCPP Žacléř - strukturovaná kabeláž</t>
  </si>
  <si>
    <t>2141124058</t>
  </si>
  <si>
    <t>KOH-RCPP Špindlerův Mlýn - strukturovaná kabeláž</t>
  </si>
  <si>
    <t>2141124059</t>
  </si>
  <si>
    <t>KOH- RCPP Horní Maršov - strukturovaná kabeláž</t>
  </si>
  <si>
    <t>2141124064</t>
  </si>
  <si>
    <t>KOH- Ob Ř SCPP Hradec Králové, obj.č.p.477 Bidlova ul. - strukturovaná kabeláž</t>
  </si>
  <si>
    <t>2141124065</t>
  </si>
  <si>
    <t>KOH- OCP ČR Hodonín - strukturovaná kabeláž</t>
  </si>
  <si>
    <t>2141124066</t>
  </si>
  <si>
    <t>KOH- OCP ČR Prostějov - strukturovaná kabeláž</t>
  </si>
  <si>
    <t>2141124074</t>
  </si>
  <si>
    <t>Praha 1, Bartolomějská 10 - rekonstrukce balistické zkušebny</t>
  </si>
  <si>
    <t>2141124075</t>
  </si>
  <si>
    <t>FKSP- RZ Morava, Staré Město pod Sněžníkem - rekonstrukce terasy a výstavba venkovního krbu</t>
  </si>
  <si>
    <t>PČR Správa hl. města Prahy</t>
  </si>
  <si>
    <t>2141124076</t>
  </si>
  <si>
    <t>FKSP- LDT Náměšť nad Oslavou - rekonstrukce sociálního zařízení</t>
  </si>
  <si>
    <t>PČR Správa Jihomoravského kraje</t>
  </si>
  <si>
    <t>2141124077</t>
  </si>
  <si>
    <t>Praha 5, Na Bělidle 272 - model EFQM- vybudování odděleného vstupu a zřízení otevřené recepce</t>
  </si>
  <si>
    <t>2141124078</t>
  </si>
  <si>
    <t>Praha 4, Kongresová 2 - klimatizace pro OSVT - 4.NP</t>
  </si>
  <si>
    <t>2141124079</t>
  </si>
  <si>
    <t>Praha 4, Kongresová 2 - klimatizace pro pracoviště ŘS - 7.NP</t>
  </si>
  <si>
    <t>2141124080</t>
  </si>
  <si>
    <t>OŘP KLadno, Havířská 632 - vybavení klimatizací</t>
  </si>
  <si>
    <t>2141124081</t>
  </si>
  <si>
    <t>OOP Velké Popovice - vodovodní přípojka a domovní plynovod</t>
  </si>
  <si>
    <t>2141124082</t>
  </si>
  <si>
    <t>OO PČR Rožmitál pod Třemšínem - plynofikace a výměna oken</t>
  </si>
  <si>
    <t>2141124083</t>
  </si>
  <si>
    <t>OOP Březnice 145 - zateplení, střecha</t>
  </si>
  <si>
    <t>2141124084</t>
  </si>
  <si>
    <t>OŘ PČR Jindřichův Hradec, Miřinovského 567 - úpravy části objektu po Okresním soudu</t>
  </si>
  <si>
    <t>2141124085</t>
  </si>
  <si>
    <t>Ústí nad Labem, Lidické nám.899/9 - výstavba operačního střediska</t>
  </si>
  <si>
    <t>2141124086</t>
  </si>
  <si>
    <t>OO PČR Dubí, Krušnohorská 124 - zabezpečení objektu proti podzemní vodě</t>
  </si>
  <si>
    <t>2141124087</t>
  </si>
  <si>
    <t>Hodonín,Koupelní 571 - zprovoznění objektu "Rybáře" pro OŘ a CPP Hodonín</t>
  </si>
  <si>
    <t>2141124088</t>
  </si>
  <si>
    <t>Praha 5, Nádražní 16 - zřízení ordinace lékaře</t>
  </si>
  <si>
    <t>2141124089</t>
  </si>
  <si>
    <t>OO PČR Vimperk - výkup pozemku</t>
  </si>
  <si>
    <t>2141124090</t>
  </si>
  <si>
    <t>Ústí nad Labem, Lidické nám.899/9 - rekonstrukce výtahů</t>
  </si>
  <si>
    <t>2141124091</t>
  </si>
  <si>
    <t>OŘ PČR Zlín, T.G.Masaryka 3218 - stavební připravenost</t>
  </si>
  <si>
    <t>2141124092</t>
  </si>
  <si>
    <t>FKSP - LT Budislav - dodávka a montáž ubytovací chatky č.67</t>
  </si>
  <si>
    <t>2141124093</t>
  </si>
  <si>
    <t>FKSP - RZ Lučina, Tvarožná Lhota - rekonstrukce</t>
  </si>
  <si>
    <t>2141124094</t>
  </si>
  <si>
    <t>ZZC Bálková - stavební úpravy</t>
  </si>
  <si>
    <t>2141124095</t>
  </si>
  <si>
    <t>ZZC Poštorná - stavební úpravy</t>
  </si>
  <si>
    <t>2141124096</t>
  </si>
  <si>
    <t>ZZC Velké Přílepy - stavební úpravy</t>
  </si>
  <si>
    <t>2141124097</t>
  </si>
  <si>
    <t>ZZC Frýdek-Místek - stavební úpravy</t>
  </si>
  <si>
    <t>2141124098</t>
  </si>
  <si>
    <t>OO PČR Krnov  - přestavba cely</t>
  </si>
  <si>
    <t>2141124099</t>
  </si>
  <si>
    <t>UTS- OŘ PČR Tachov, Plánská 2032 - přebudování EZS</t>
  </si>
  <si>
    <t>2141124100</t>
  </si>
  <si>
    <t>UTS- PČR SJčk České Budějovice, Pražská 429 - dobudování systému EKV-instalace turniketů</t>
  </si>
  <si>
    <t>2141124101</t>
  </si>
  <si>
    <t>UTS- PČR SJčk České Budějovice, Lannova 26 - vybudování oplocení areálu</t>
  </si>
  <si>
    <t>2141124102</t>
  </si>
  <si>
    <t>UTS- OŘ PČR Jindřichův Hradec,Miřijovského 567 - dobudování systému EKV</t>
  </si>
  <si>
    <t>2141124103</t>
  </si>
  <si>
    <t>UTS- Praha 5, Nádražní 16/274 - rozšíření EKV</t>
  </si>
  <si>
    <t>2141124104</t>
  </si>
  <si>
    <t>UTS- Praha 1, Celetná 31 - zřízení oblastí "D", rozšíření EKV</t>
  </si>
  <si>
    <t>2141124105</t>
  </si>
  <si>
    <t>Praha 6, Pelléova 21 - rekonstrukce ústředního topení</t>
  </si>
  <si>
    <t>2141124106</t>
  </si>
  <si>
    <t>Praha 3, Olšanská 2A - vestavba recepce ve vstupní hale "D"</t>
  </si>
  <si>
    <t>2141124107</t>
  </si>
  <si>
    <t>RŠS Alma, Železná Ruda - stavební úpravy</t>
  </si>
  <si>
    <t>2141124108</t>
  </si>
  <si>
    <t>OO PČR Nová Role - výkup pozemku</t>
  </si>
  <si>
    <t>2141124109</t>
  </si>
  <si>
    <t>Plzeň, kasárna Bory - podzemní úložiště PHM</t>
  </si>
  <si>
    <t>2141124110</t>
  </si>
  <si>
    <t>OŘ PČR Karlovy Vary, Tuhnice - výkup pozemku</t>
  </si>
  <si>
    <t>2141124111</t>
  </si>
  <si>
    <t>OO PČR Bochov - výkup pozemku</t>
  </si>
  <si>
    <t>2141124112</t>
  </si>
  <si>
    <t>OŘP a SKPV Klatovy, Gorkého 792 - výkup pozemků</t>
  </si>
  <si>
    <t>2141124113</t>
  </si>
  <si>
    <t>OO PČR Sázava č.131,132 - výstavba kanalizační přípojky</t>
  </si>
  <si>
    <t>2141124114</t>
  </si>
  <si>
    <t>OŘ PČR Louny, U cukrovarské zahrady 1124 - plynofikace</t>
  </si>
  <si>
    <t>2141124115</t>
  </si>
  <si>
    <t>Praha 8, Ďáblická 510, 524 - výkup pozemků</t>
  </si>
  <si>
    <t>2141124116</t>
  </si>
  <si>
    <t>MVP - CZ000702 Praha 3, Olšanská 2, budova "B" - stavební úpravy centrálního archivu ()</t>
  </si>
  <si>
    <t>2141124117</t>
  </si>
  <si>
    <t>OŘ PČR Zlín, Pozlovice - nákup a osazení mobilních buněk pro jízdní polici</t>
  </si>
  <si>
    <t>2141124118</t>
  </si>
  <si>
    <t>OO PČR Čechtice, čp.332 - výkup ideální poloviny objektu</t>
  </si>
  <si>
    <t>2141124119</t>
  </si>
  <si>
    <t>KOH - Hraniční přechod Strážný - Phillippsreut - stavební úpravy</t>
  </si>
  <si>
    <t>2141124120</t>
  </si>
  <si>
    <t>KOH - Hraniční přechody - stavební úpravy</t>
  </si>
  <si>
    <t>2141124121</t>
  </si>
  <si>
    <t>2141124122</t>
  </si>
  <si>
    <t>KOH - Hraniční přechody na území ČR - stavební úpravy</t>
  </si>
  <si>
    <t>2141124123</t>
  </si>
  <si>
    <t>2141124124</t>
  </si>
  <si>
    <t>2141124125</t>
  </si>
  <si>
    <t>KOH - Hraniční přechod Nová Bystřice - Grametten - stavební úpravy</t>
  </si>
  <si>
    <t>2141124126</t>
  </si>
  <si>
    <t>KOH - Hraniční přechod Slavonice - Fratres - stavební úpravy</t>
  </si>
  <si>
    <t>2141124127</t>
  </si>
  <si>
    <t>KOH - Hraniční přechody na území PR - stavební úpravy</t>
  </si>
  <si>
    <t>2141124128</t>
  </si>
  <si>
    <t>UTS - Praha 3, Olšanská 2 - rozšíření EKV</t>
  </si>
  <si>
    <t>2141124129</t>
  </si>
  <si>
    <t>FKSP - RZ Čeřínek, obec Cejle č.3 - rekonstrukce sociálního zařízení a elektroinstalace</t>
  </si>
  <si>
    <t>2141124130</t>
  </si>
  <si>
    <t>ZZC  Poštorná - oplocení objektu a el. brána (VPS)</t>
  </si>
  <si>
    <t>2141124131</t>
  </si>
  <si>
    <t>ZZC Poštorná - rozšíření vycházkového prostoru (VPS)</t>
  </si>
  <si>
    <t>2141124132</t>
  </si>
  <si>
    <t>Svojšice, sklady - strukturovaná kabeláž + optický kabel - 1.etapa zpracování PD</t>
  </si>
  <si>
    <t>2141124133</t>
  </si>
  <si>
    <t>OO PČR Bor u Tachova - plynofikace</t>
  </si>
  <si>
    <t>2141170007</t>
  </si>
  <si>
    <t>RCPP Aš, Selbská - plynofikace</t>
  </si>
  <si>
    <t>2141170008</t>
  </si>
  <si>
    <t>OO PČR Rozvadov - plynofikace</t>
  </si>
  <si>
    <t>2141170009</t>
  </si>
  <si>
    <t>RCPP Luby u Chebu - plynofikace</t>
  </si>
  <si>
    <t>2141170010</t>
  </si>
  <si>
    <t>RCPP Debrník - plynofikace</t>
  </si>
  <si>
    <t>2141170020</t>
  </si>
  <si>
    <t>OO PČR Nová Ves v Horách - plynofikace</t>
  </si>
  <si>
    <t>2141170021</t>
  </si>
  <si>
    <t>OO PČR Vávrovice - plynofikace</t>
  </si>
  <si>
    <t>2141170022</t>
  </si>
  <si>
    <t>OO PČR Horní Lideč - plynofikace</t>
  </si>
  <si>
    <t>2141170023</t>
  </si>
  <si>
    <t>OO PČR Moravský Beroun - plynofikace</t>
  </si>
  <si>
    <t>2141170024</t>
  </si>
  <si>
    <t>OO PČR Vítkov - plynofikace</t>
  </si>
  <si>
    <t>2141170026</t>
  </si>
  <si>
    <t>OO PČR Hanušovice - plynofikace</t>
  </si>
  <si>
    <t>2141170027</t>
  </si>
  <si>
    <t>OO PČR Velké Losiny - plynofikace</t>
  </si>
  <si>
    <t>2141170028</t>
  </si>
  <si>
    <t>PČR Ostrava, Michálkovická 160 - plynofikace objektu</t>
  </si>
  <si>
    <t>2141170029</t>
  </si>
  <si>
    <t>Ostrava, sklady Bartovice - plynofikace</t>
  </si>
  <si>
    <t>2141174001</t>
  </si>
  <si>
    <t>OO PČR Hořesedly - ČOV</t>
  </si>
  <si>
    <t>2141174002</t>
  </si>
  <si>
    <t>OO PČR Poběžovice - plynofikace objektu</t>
  </si>
  <si>
    <t>RCPP Luby u Chebu - výstavba ČOV</t>
  </si>
  <si>
    <t>2141174004</t>
  </si>
  <si>
    <t>OO PČR Plesná - kanalizační přípojka</t>
  </si>
  <si>
    <t>2141174005</t>
  </si>
  <si>
    <t>OO PČR Moravský Krumlov - plynofikace objektu</t>
  </si>
  <si>
    <t>2141174006</t>
  </si>
  <si>
    <t>FKSP- Dolní Malá Úpa - chata "Spálený Mlýn" - ČOV</t>
  </si>
  <si>
    <t>Celkem z 214117</t>
  </si>
  <si>
    <t>2141180004</t>
  </si>
  <si>
    <t>OŘP ČR Plzeň S a J - Anglické nábřeží (I.etapa - strukturovaná kabeláž)+ (II.etapa - statické zajištění a stavební úpravy)</t>
  </si>
  <si>
    <t>2141180007</t>
  </si>
  <si>
    <t>OŘ PČR Písek - oprava objektu</t>
  </si>
  <si>
    <t>2141180012</t>
  </si>
  <si>
    <t>Velkokuchyňské zařízení</t>
  </si>
  <si>
    <t>2141180025</t>
  </si>
  <si>
    <t>Plzeň S Zčk, Nádražní 2 - odstranění škod po povodních</t>
  </si>
  <si>
    <t>2141180026</t>
  </si>
  <si>
    <t>OŘP Plzeň J a S Angl.nábřeží 7 - odstranění škod po povodních</t>
  </si>
  <si>
    <t>2141180027</t>
  </si>
  <si>
    <t>RCPP Bublava - odstranění škod po povodních</t>
  </si>
  <si>
    <t>2141180028</t>
  </si>
  <si>
    <t>S Zčk Plzeň, Podmostní 4 - odstranění škod po povodních</t>
  </si>
  <si>
    <t>2141184001</t>
  </si>
  <si>
    <t>školící středisko Veltrusy - demolice objektů a zprovoznění kuchyně</t>
  </si>
  <si>
    <t>Celkem z 214118</t>
  </si>
  <si>
    <t>2141190024</t>
  </si>
  <si>
    <t>Praha 5, Zborovská 1505 - energetický audit</t>
  </si>
  <si>
    <t>2141190030</t>
  </si>
  <si>
    <t>OŘ PČR Kolín, K dílnám 684 - energetický audit</t>
  </si>
  <si>
    <t>2141190031</t>
  </si>
  <si>
    <t>OŘ PČR Kutná Hora, Na Náměti 412 - energetický audit</t>
  </si>
  <si>
    <t>2141190032</t>
  </si>
  <si>
    <t>Neratovice, 5.května 205 - energetický audit</t>
  </si>
  <si>
    <t>2141190035</t>
  </si>
  <si>
    <t>Hradišťko 75 - energetický audit</t>
  </si>
  <si>
    <t>2141190036</t>
  </si>
  <si>
    <t>OŘ PČR Rakovník, Husovo nám.116 - energetický audit</t>
  </si>
  <si>
    <t>2141190037</t>
  </si>
  <si>
    <t>Rakovník, Dukelských hrdinů 23 - energetický audit</t>
  </si>
  <si>
    <t>2141190147</t>
  </si>
  <si>
    <t>OO PČR Hořesedly - energetický audit</t>
  </si>
  <si>
    <t>2141194001</t>
  </si>
  <si>
    <t>Praha 1, Na Perštýně 11 - energetický audit</t>
  </si>
  <si>
    <t>2141194002</t>
  </si>
  <si>
    <t>Praha 1, Bartolomějská 4 - energetický audit</t>
  </si>
  <si>
    <t>2141194003</t>
  </si>
  <si>
    <t>Praha 2, Šafaříkova 12 - energetický audit</t>
  </si>
  <si>
    <t>2141194004</t>
  </si>
  <si>
    <t>Praha 4,Durychova 40 - energetický audit</t>
  </si>
  <si>
    <t>2141194005</t>
  </si>
  <si>
    <t>Praha 4, Sdružení 1664/1 - energetický audit</t>
  </si>
  <si>
    <t>2141194006</t>
  </si>
  <si>
    <t>Praha 5, Na Bělidle 272/5 - energetický audit</t>
  </si>
  <si>
    <t>2141194007</t>
  </si>
  <si>
    <t>Praha 6, Arabská 681 A - energetický audit</t>
  </si>
  <si>
    <t>2141194008</t>
  </si>
  <si>
    <t>Praha 6, Aviatická 16/1050 - energetický audit</t>
  </si>
  <si>
    <t>2141194009</t>
  </si>
  <si>
    <t>Nové Město na Moravě, RŠS Vysočina - energetický audit</t>
  </si>
  <si>
    <t>2141194010</t>
  </si>
  <si>
    <t>Nymburk, Boleslavská 1831 - energetický audit</t>
  </si>
  <si>
    <t>2141194011</t>
  </si>
  <si>
    <t>Kladno, nám.E.Beneše 1613 - energetický audit</t>
  </si>
  <si>
    <t>2141194012</t>
  </si>
  <si>
    <t>Poděbrady 220 - energetický audit</t>
  </si>
  <si>
    <t>2141194013</t>
  </si>
  <si>
    <t>Kolín, Kutnohorská 180 - energetický audit</t>
  </si>
  <si>
    <t>2141194014</t>
  </si>
  <si>
    <t>Český Brod, Husovo nám.65 - energetický audit</t>
  </si>
  <si>
    <t>2141194015</t>
  </si>
  <si>
    <t>OO PČR Čelákovice - energetický audit</t>
  </si>
  <si>
    <t>2141194016</t>
  </si>
  <si>
    <t>OO PČR Říčany, nám. T.G.Masaryka 56 - energetický audit</t>
  </si>
  <si>
    <t>2141194017</t>
  </si>
  <si>
    <t>Mladá Boleslav TRIO - energetický audit</t>
  </si>
  <si>
    <t>2141194018</t>
  </si>
  <si>
    <t>Čáslav, Dusíkova 77 - energetický audit</t>
  </si>
  <si>
    <t>Veltrusy - školící středisko - energetický audit</t>
  </si>
  <si>
    <t>2141194020</t>
  </si>
  <si>
    <t>Benešov, Čechova 291 - energetický audit</t>
  </si>
  <si>
    <t>2141194021</t>
  </si>
  <si>
    <t>Příbram, Hornických učňů 256 - energetický audit</t>
  </si>
  <si>
    <t>2141194022</t>
  </si>
  <si>
    <t>OO PČR Týn nad Vltavou - energetický audit</t>
  </si>
  <si>
    <t>2141194023</t>
  </si>
  <si>
    <t>RCPP Dolní Dvořiště - energetický audit</t>
  </si>
  <si>
    <t>RCPP Mnichovice - energetický audit</t>
  </si>
  <si>
    <t>2141194025</t>
  </si>
  <si>
    <t>OOP a RCPP Nová Bystřice - energetický audit</t>
  </si>
  <si>
    <t>2141194026</t>
  </si>
  <si>
    <t>ÚZ Červená nad Vltavou - energetický audit</t>
  </si>
  <si>
    <t>2141194027</t>
  </si>
  <si>
    <t>RCPP Dolní Silnice - energetický audit</t>
  </si>
  <si>
    <t>2141194028</t>
  </si>
  <si>
    <t>S Jčk České Budějovice, Lannova 26 - odstranění závad dle EA</t>
  </si>
  <si>
    <t>2141194029</t>
  </si>
  <si>
    <t>sportovní areál S Jčk České Budějovice, Jiráskovo nábř. 25 - odstranění závad dle EA</t>
  </si>
  <si>
    <t>2141194030</t>
  </si>
  <si>
    <t>zdravotní ústav S Jčk České Budějovice, Nová ul. 1990/32 - odstranění závad dle EA</t>
  </si>
  <si>
    <t>2141194031</t>
  </si>
  <si>
    <t>S Jčk České Budějovice, Pražská 429 - odstranění závad dle EA</t>
  </si>
  <si>
    <t>OŘ PČR Klatovy, Gorkého 792 - energetický audit</t>
  </si>
  <si>
    <t>2141194033</t>
  </si>
  <si>
    <t>OO PČR Cheb, Hviezdoslavovo nám. - energetický audit</t>
  </si>
  <si>
    <t>2141194034</t>
  </si>
  <si>
    <t>Česká Kubice 20 b.j. - energetický audit</t>
  </si>
  <si>
    <t>2141194035</t>
  </si>
  <si>
    <t>RCPP Domažlice, Hruškova 152 - energetický audit</t>
  </si>
  <si>
    <t>2141194036</t>
  </si>
  <si>
    <t>OO PČR Plzeň, Železniční 12 - energetický audit</t>
  </si>
  <si>
    <t>2141194037</t>
  </si>
  <si>
    <t>OO PČR Železná Ruda - energetický audit</t>
  </si>
  <si>
    <t>2141194038</t>
  </si>
  <si>
    <t>OO PČR Mariánské Lázně 153 - energetický audit</t>
  </si>
  <si>
    <t>2141194039</t>
  </si>
  <si>
    <t>DO Svojkovice - energetický audit</t>
  </si>
  <si>
    <t>2141194040</t>
  </si>
  <si>
    <t>OO PČR Chodov, Staroměstská 18 - energetický audit</t>
  </si>
  <si>
    <t>2141194041</t>
  </si>
  <si>
    <t>OŘ PČR Sokolov, Jednoty 1773 - odstranění závad dle EA</t>
  </si>
  <si>
    <t>2141194042</t>
  </si>
  <si>
    <t>Železná Ruda 98 - odstranění závad dle EA</t>
  </si>
  <si>
    <t>2141194043</t>
  </si>
  <si>
    <t>SZK PČR Plzeň, Nádražní 2 - odstranění závad dle EA</t>
  </si>
  <si>
    <t>2141194044</t>
  </si>
  <si>
    <t>OŘ PČR Plzeň-jih, Anglické nábřeží 7 - odstranění závad dle EA</t>
  </si>
  <si>
    <t>2141194045</t>
  </si>
  <si>
    <t>OŘ PČR Cheb, 17.listopadu 2140 - odstranění závad dle EA</t>
  </si>
  <si>
    <t>2141194046</t>
  </si>
  <si>
    <t>OŘ PČR Karlovy Vary, I.P.Pavlova 26 - odstranění závad dle EA</t>
  </si>
  <si>
    <t>2141194047</t>
  </si>
  <si>
    <t>OŘ PČR Sokolov, Dobrovského 1936 - odstranění závad dle EA</t>
  </si>
  <si>
    <t>2141194048</t>
  </si>
  <si>
    <t>OO PČR Chomutov, Libušina 406 - energetický audit</t>
  </si>
  <si>
    <t>2141194049</t>
  </si>
  <si>
    <t>OO PČR Šluknov, Budyšínská 950 - energetický audit</t>
  </si>
  <si>
    <t>2141194050</t>
  </si>
  <si>
    <t>Česká Lípa, Okružní 20782079 - energetický audit</t>
  </si>
  <si>
    <t>2141194051</t>
  </si>
  <si>
    <t>OO PČR Nový Bor, 1.máje 7 - energetický audit</t>
  </si>
  <si>
    <t>2141194052</t>
  </si>
  <si>
    <t>OO PČR Litvínov, Vodní 87 - energetický audit</t>
  </si>
  <si>
    <t>2141194053</t>
  </si>
  <si>
    <t>Ústí nad Labem, Lidické nám.2 - zdravotní ústav - energetický audit</t>
  </si>
  <si>
    <t>2141194054</t>
  </si>
  <si>
    <t>OO PČR Ústí nad Labem, Masarykova 47 - energetický audit</t>
  </si>
  <si>
    <t>2141194055</t>
  </si>
  <si>
    <t>OO PČR Klášterec nad Ohří, Polní 685 - energetický audit</t>
  </si>
  <si>
    <t>2141194056</t>
  </si>
  <si>
    <t>OO PČR Kadaň, Klášterecká 1483 - energetický audit</t>
  </si>
  <si>
    <t>2141194057</t>
  </si>
  <si>
    <t>Ústí nad Labem, Lidické nám.9 - odstranění závad dle EA</t>
  </si>
  <si>
    <t>2141194058</t>
  </si>
  <si>
    <t>RCPP Ústí nad Labem, Masarykova 27,29 - odstranění závad dle EA</t>
  </si>
  <si>
    <t>2141194059</t>
  </si>
  <si>
    <t>OŘ PČR Louny, U Cukrovarské zahrady 1124 - odstranění závad dle EA</t>
  </si>
  <si>
    <t>2141194060</t>
  </si>
  <si>
    <t>Teplice, Závodní 927/2 - odstranění závad dle EA</t>
  </si>
  <si>
    <t>2141194061</t>
  </si>
  <si>
    <t>OŘ PČR  Most, Řezáče 224 - odstrannění závad dle EA</t>
  </si>
  <si>
    <t>2141194062</t>
  </si>
  <si>
    <t>OŘ PČR Česká Lípa, Pod Holým vrchem 14 - odstranění závad dle EA</t>
  </si>
  <si>
    <t>OŘ PČR Ústí nad Labem, Dlouhá 2 - odstranění závad dle EA</t>
  </si>
  <si>
    <t xml:space="preserve">SKP Ústí nad Labem, Stříbrnická 9 - odstrannění závad dle EA  </t>
  </si>
  <si>
    <t>2141194065</t>
  </si>
  <si>
    <t>OO PČR Teplice, Maršovská 12 - odstranění závad dle EA</t>
  </si>
  <si>
    <t>2141194066</t>
  </si>
  <si>
    <t>RZ Ostrov 55 - odstrannění závad dle EA</t>
  </si>
  <si>
    <t>2141194067</t>
  </si>
  <si>
    <t>OO PČR Rumburk 406/487 - odstranění závad dle EA</t>
  </si>
  <si>
    <t>2141194068</t>
  </si>
  <si>
    <t>OO PČR Česká Lípa, paní Zdislavy 299 - odstranění závad dle EA</t>
  </si>
  <si>
    <t xml:space="preserve">OO PČR Žatec, Dlouhá 111,112 - odstranění závad dle EA   </t>
  </si>
  <si>
    <t>OO PČR Liberec, Třebízského 1244/2 - odstranění závad dle EA</t>
  </si>
  <si>
    <t>2141194071</t>
  </si>
  <si>
    <t>Ústí nad Labem, Horova 5 - odstranění závad dle EA</t>
  </si>
  <si>
    <t>OO PČR Varnsdorf, Bratislavská 2410 - odstranění závad dle EA</t>
  </si>
  <si>
    <t>RCPP Dolní Poustevna 114 - odstranění závad dle EA</t>
  </si>
  <si>
    <t>2141194074</t>
  </si>
  <si>
    <t>OO PČR Mimoň, Mírova 129 - odstranění závad dle EA</t>
  </si>
  <si>
    <t>OO PČR Varnsdorf, Havlíčkova 2040 - odstranění závad dle EA</t>
  </si>
  <si>
    <t>2141194076</t>
  </si>
  <si>
    <t>OO PČR Moravská Třebová - energetický audit</t>
  </si>
  <si>
    <t>2141194077</t>
  </si>
  <si>
    <t>OO PČR Česká Třebová - energetický audit</t>
  </si>
  <si>
    <t>2141194078</t>
  </si>
  <si>
    <t>OO PČR Nová Paka, Dukelských hrdinů 37 - energetický audit</t>
  </si>
  <si>
    <t>2141194079</t>
  </si>
  <si>
    <t>OŘ PČR Chrudim, Všehrdovo nám.46 a 47 - energetický audit</t>
  </si>
  <si>
    <t xml:space="preserve">S Včk Hradec Králové, Bidlova 477 - energetický audit </t>
  </si>
  <si>
    <t>2141194081</t>
  </si>
  <si>
    <t>OO PČR Pardubice, Rožkova 1684 - energetický audit</t>
  </si>
  <si>
    <t xml:space="preserve">S Včk Hradec Králové, Nerudova 790 - energetický audit </t>
  </si>
  <si>
    <t>2141194083</t>
  </si>
  <si>
    <t>OO PČR Polička - energetický audit</t>
  </si>
  <si>
    <t>2141194084</t>
  </si>
  <si>
    <t>OO PČR Hlinsko, Ležáků 1351 - energetický audit</t>
  </si>
  <si>
    <t>2141194085</t>
  </si>
  <si>
    <t>OO PČR Litomyšl, Ropkova 1142 - energetický audit</t>
  </si>
  <si>
    <t>2141194086</t>
  </si>
  <si>
    <t>OO PČR Ústí nad Orlicí, Letohradská - energetický audit</t>
  </si>
  <si>
    <t>2141194087</t>
  </si>
  <si>
    <t>OŘ PČR Ústí nad Orlicí, Dělnická - energetický audit</t>
  </si>
  <si>
    <t>2141194088</t>
  </si>
  <si>
    <t>OO PČR Náchod, Kostelecká 1176 - energetický audit</t>
  </si>
  <si>
    <t>OO PČR Opočno, Tyršova 600 - energetický audit</t>
  </si>
  <si>
    <t>2141194090</t>
  </si>
  <si>
    <t>OŘ PČR Hradec Králové, Mrštíkova 541 - odstranění nedostatků dle EA</t>
  </si>
  <si>
    <t>2141194091</t>
  </si>
  <si>
    <t>S Včk Hradec Králové, Dlouhá 95 - odstranění závad dle EA</t>
  </si>
  <si>
    <t>2141194092</t>
  </si>
  <si>
    <t>S Včk Hradec Králové, Kladská 113 - odstranění závad dle EA</t>
  </si>
  <si>
    <t>2141194093</t>
  </si>
  <si>
    <t>S Včk Hradec Králové, Říční 1080 - odstranění závad dle EA</t>
  </si>
  <si>
    <t>2141194094</t>
  </si>
  <si>
    <t>S Včk Hradec Králové, Ulrichovo nám.810 - odstranění závad dle EA</t>
  </si>
  <si>
    <t>2141194095</t>
  </si>
  <si>
    <t>OŘ PČR Příbram-Zdaboř - odstranění závad dle EA</t>
  </si>
  <si>
    <t>2141194096</t>
  </si>
  <si>
    <t>OO PČR Brno, Malátova 3 - odstranění závad dle EA</t>
  </si>
  <si>
    <t>2141194097</t>
  </si>
  <si>
    <t>OŘ PČR Břeclav, Národních hrdinů 18 - odstranění závad dle EA</t>
  </si>
  <si>
    <t>2141194098</t>
  </si>
  <si>
    <t>OŘ PČR Žďár nad Sázavou - odstranění závad dle EA</t>
  </si>
  <si>
    <t>2141194099</t>
  </si>
  <si>
    <t>S Smk Ostrava, 1.máje 101 - energetický audit</t>
  </si>
  <si>
    <t>2141194100</t>
  </si>
  <si>
    <t>S Smk Ostrava-Poruba, Heyrovského 1373 - energetický audit</t>
  </si>
  <si>
    <t>2141194101</t>
  </si>
  <si>
    <t>S Smk Ostrava, Husovo nám.2 - energetický audit</t>
  </si>
  <si>
    <t>2141194102</t>
  </si>
  <si>
    <t>S Smk Ostrava-Hrabůvka, Dr.Martínka - energetický audit</t>
  </si>
  <si>
    <t>2141194103</t>
  </si>
  <si>
    <t>S Smk Ostrava-Poruba, Slavíkova 26 - energetický audit</t>
  </si>
  <si>
    <t>2141194104</t>
  </si>
  <si>
    <t>S Smk Ostrava, Bohumínská 63/1814 - energetický audit</t>
  </si>
  <si>
    <t>2141194105</t>
  </si>
  <si>
    <t>S Smk Ostrava, Českobratrská 10 - energetický audit</t>
  </si>
  <si>
    <t>2141194106</t>
  </si>
  <si>
    <t>S Smk Ostrava, Masná 3,5 - energetický audit</t>
  </si>
  <si>
    <t>2141194107</t>
  </si>
  <si>
    <t>OŘ PČR Bruntál, Partyzánská 9 - energetický audit</t>
  </si>
  <si>
    <t>2141194108</t>
  </si>
  <si>
    <t>S Smk Ostrava-Poruba, Dělnická 392 - energetický audit</t>
  </si>
  <si>
    <t>2141194109</t>
  </si>
  <si>
    <t>Karviná 1, U Svobodáren 1289 - energetický audit</t>
  </si>
  <si>
    <t xml:space="preserve">OŘ PČR Karviná, Havířská 1511 - energetický audit </t>
  </si>
  <si>
    <t>2141194111</t>
  </si>
  <si>
    <t>Havířov, Sv.Čecha 539/1 - energetický audit</t>
  </si>
  <si>
    <t>2141194112</t>
  </si>
  <si>
    <t>Frýdek-Místek areál - odstranění závad dle EA</t>
  </si>
  <si>
    <t>2141194113</t>
  </si>
  <si>
    <t>Praha 5, areál Zbraslav, E.Přemyslovny 1304 - odstranění závad dle EA</t>
  </si>
  <si>
    <t xml:space="preserve">ZZ Poštorná - odstranění závad dle EA  </t>
  </si>
  <si>
    <t xml:space="preserve">Praha 1, Loretánský areál - odstranění závad dle EA  </t>
  </si>
  <si>
    <t>2141194116</t>
  </si>
  <si>
    <t>Praha 5 Zadní Kopanina - odstranění závad dle EA</t>
  </si>
  <si>
    <t>2141194117</t>
  </si>
  <si>
    <t>Praha 7 Strojnická 935 - odstranění závad dle EA</t>
  </si>
  <si>
    <t>2141194118</t>
  </si>
  <si>
    <t>Praha 3 Koněvova 21/1958 - odstranění závad dle EA</t>
  </si>
  <si>
    <t>2141194119</t>
  </si>
  <si>
    <t>Praha 3 Olšanská 4 - odstranění závad dle EA</t>
  </si>
  <si>
    <t>2141194120</t>
  </si>
  <si>
    <t>Praha 1, Bartolomějská 10- odstranění závad dle EA</t>
  </si>
  <si>
    <t>2141194121</t>
  </si>
  <si>
    <t>OŘP Prostějov, Újezd 12 - energetický audit</t>
  </si>
  <si>
    <t>2141194122</t>
  </si>
  <si>
    <t>Praha 4, Kongresová 2 - odstranění závad dle EA</t>
  </si>
  <si>
    <t>2141194123</t>
  </si>
  <si>
    <t>Objekty S Smk Ostrava - odstranění závad dle EA</t>
  </si>
  <si>
    <t>2141194124</t>
  </si>
  <si>
    <t>PČR S Stčk - instalace termostatických ventilů</t>
  </si>
  <si>
    <t>2141194125</t>
  </si>
  <si>
    <t>Praha 1, Bartolomějská 14/37 - energetický audit</t>
  </si>
  <si>
    <t>2141194126</t>
  </si>
  <si>
    <t>Praha 1, Bartolomějská 7/306 - energetický audit</t>
  </si>
  <si>
    <t>2141194127</t>
  </si>
  <si>
    <t>Praha  1, Bartolomějská 6/312 - energetický audit</t>
  </si>
  <si>
    <t>2141194128</t>
  </si>
  <si>
    <t>MŘ PČR Ostrava, Mečníkovova 873 - energetický audit</t>
  </si>
  <si>
    <t>2141194129</t>
  </si>
  <si>
    <t>Praha 6, Bělohorská 23 - odstranění závad dle EA</t>
  </si>
  <si>
    <t>2141194130</t>
  </si>
  <si>
    <t>Praha 6, Mártího 402 - odstranění závad dle EA</t>
  </si>
  <si>
    <t>2141194131</t>
  </si>
  <si>
    <t>Praha 6, Českého Povstání 32 - odstranění závad dle EA</t>
  </si>
  <si>
    <t>2141194132</t>
  </si>
  <si>
    <t>Praha 5, Zbraslav "Barbora" - odstranění závad dle EA</t>
  </si>
  <si>
    <t>2141194133</t>
  </si>
  <si>
    <t>Česká Lípa, Okružní 2078, 2079 - oprava a vyregulování otopné soustavy</t>
  </si>
  <si>
    <t>214119R001</t>
  </si>
  <si>
    <t>Celkem z 214119</t>
  </si>
  <si>
    <t>Celkem z 214110</t>
  </si>
  <si>
    <t>2142114001</t>
  </si>
  <si>
    <t>Brno OUPO - rekonstrukce HW a SW celků ICT v rámci trenažéru Výjezd</t>
  </si>
  <si>
    <t>2142114002</t>
  </si>
  <si>
    <t>Frýdek-Místek PO - vybavení SW a HW</t>
  </si>
  <si>
    <t>2142114003</t>
  </si>
  <si>
    <t>Olomouc OZ - tester antén systému a signálu POCSAG</t>
  </si>
  <si>
    <t>Záložní technologie VyC</t>
  </si>
  <si>
    <t xml:space="preserve">Zabezpečení PC sítí </t>
  </si>
  <si>
    <t>Diskové pole</t>
  </si>
  <si>
    <t>Zařízení TWP</t>
  </si>
  <si>
    <t>2142114008</t>
  </si>
  <si>
    <t>Připojení stanic HZS do ITS</t>
  </si>
  <si>
    <t>2142114009</t>
  </si>
  <si>
    <t>2142114010</t>
  </si>
  <si>
    <t>Nákup 2ks telefonní ústředny</t>
  </si>
  <si>
    <t>2142114011</t>
  </si>
  <si>
    <t>2142114012</t>
  </si>
  <si>
    <t>Aktivní prvky sítě PC</t>
  </si>
  <si>
    <t>2142114013</t>
  </si>
  <si>
    <t>Kladno  - obměna telefonních ústředen</t>
  </si>
  <si>
    <t>Kladno J. Palacha 1970 - technologické propojení PC pro LCT</t>
  </si>
  <si>
    <t>Kladno J. Palacha 1970 - ovládání radiostanic MATRA</t>
  </si>
  <si>
    <t>Kladno J. Palacha 1970 - technologie připojení k ITS</t>
  </si>
  <si>
    <t>2142114017</t>
  </si>
  <si>
    <t>Kladno J. Palacha 1970 - pracoviště GIS</t>
  </si>
  <si>
    <t>Kladno J. Palacha 1970 - Visual Net Studio (Oracle)</t>
  </si>
  <si>
    <t>2142114019</t>
  </si>
  <si>
    <t>Kladno J. Palacha 1970 - vstup a výstup moduly informačního systému Výjezd</t>
  </si>
  <si>
    <t>2142114020</t>
  </si>
  <si>
    <t>Kladno J. Palacha 1970 - upgrade serverů na OPIS</t>
  </si>
  <si>
    <t>Kolín, Příbram - ovládání technologie na OPIS</t>
  </si>
  <si>
    <t>2142114022</t>
  </si>
  <si>
    <t>Kladno - komplety základnových radiostanic Motorola GM 380/360 na 160 MHz na OPIS a PS</t>
  </si>
  <si>
    <t>2142114023</t>
  </si>
  <si>
    <t>Kolín ÚO - integrace systému MATRA na OPIS</t>
  </si>
  <si>
    <t>Přepínače CISCO Switch CATALIST na KOPIS</t>
  </si>
  <si>
    <t>2142114025</t>
  </si>
  <si>
    <t>Pilotní projekt ovládání požární stanice</t>
  </si>
  <si>
    <t>2142114026</t>
  </si>
  <si>
    <t>Server + SW Oracle</t>
  </si>
  <si>
    <t>2142114027</t>
  </si>
  <si>
    <t>Opatření na zabezpečení sítí - firewally, rozvody atd.</t>
  </si>
  <si>
    <t>2142114028</t>
  </si>
  <si>
    <t>Ovládání technologie stanic</t>
  </si>
  <si>
    <t>2142114029</t>
  </si>
  <si>
    <t>Technologické vybavení pro výjezd OPIS</t>
  </si>
  <si>
    <t>2142114030</t>
  </si>
  <si>
    <t>2142114031</t>
  </si>
  <si>
    <t>2142114032</t>
  </si>
  <si>
    <t>2142114033</t>
  </si>
  <si>
    <t>HW a SW pro KOPIS</t>
  </si>
  <si>
    <t>2142114034</t>
  </si>
  <si>
    <t>DB Oracle</t>
  </si>
  <si>
    <t>2142114035</t>
  </si>
  <si>
    <t>2142114036</t>
  </si>
  <si>
    <t>Koncentrátor</t>
  </si>
  <si>
    <t>2142114037</t>
  </si>
  <si>
    <t>2142114038</t>
  </si>
  <si>
    <t>Ústí nad Labem, Masarykova 342 - systémový aplikační SW a HW pro OPIS</t>
  </si>
  <si>
    <t>Ústí nad Labem, Masarykova 342 - Server + SW Oracle</t>
  </si>
  <si>
    <t>2142114040</t>
  </si>
  <si>
    <t>Ústí nad Labem, Masarykova 342 - zabezpečení sítí KOPIS</t>
  </si>
  <si>
    <t>2142114041</t>
  </si>
  <si>
    <t>Liberec III, Barvířská 29/10 - řešení 1.části technologie krajské verze SW Vjezd vč. propojení s linkou 112</t>
  </si>
  <si>
    <t>2142114042</t>
  </si>
  <si>
    <t>Liberec III Barvířská 29/10 - řešení 2.části technologie krajské verze SW Výjezd vč. propojení s linkou 112</t>
  </si>
  <si>
    <t>Svitavy ÚO - rozšíření telefonní ústředny</t>
  </si>
  <si>
    <t>CISCO 1721</t>
  </si>
  <si>
    <t xml:space="preserve">PIX 506 - firewall </t>
  </si>
  <si>
    <t>2142114046</t>
  </si>
  <si>
    <t>CISCO 1710</t>
  </si>
  <si>
    <t>2142114047</t>
  </si>
  <si>
    <t>Záložní (backup) doménový server</t>
  </si>
  <si>
    <t>2142114048</t>
  </si>
  <si>
    <t>Doménový server</t>
  </si>
  <si>
    <t>2142114049</t>
  </si>
  <si>
    <t>Koncentrátor MSKP</t>
  </si>
  <si>
    <t>2142114050</t>
  </si>
  <si>
    <t>2142114051</t>
  </si>
  <si>
    <t>Pořízení aplikačního serveru</t>
  </si>
  <si>
    <t>2142114052</t>
  </si>
  <si>
    <t>Zabezpečení vnitřních sítí LAN</t>
  </si>
  <si>
    <t>2142114053</t>
  </si>
  <si>
    <t>Digitální telekomunikační uzel</t>
  </si>
  <si>
    <t>2142114054</t>
  </si>
  <si>
    <t>Havlíčkův Brod ÚO - telefonní ústředna</t>
  </si>
  <si>
    <t>2142114055</t>
  </si>
  <si>
    <t>Pelhřimov ÚO - telefonní ústředna</t>
  </si>
  <si>
    <t>2142114056</t>
  </si>
  <si>
    <t>2142114057</t>
  </si>
  <si>
    <t>2142114058</t>
  </si>
  <si>
    <t>Brno ÚO - rozšíření ICT HZS Jmk</t>
  </si>
  <si>
    <t>2142114059</t>
  </si>
  <si>
    <t>Síťové servery - KŘ HZS, OPISy, ÚO HZS</t>
  </si>
  <si>
    <t>2142114060</t>
  </si>
  <si>
    <t>2142114061</t>
  </si>
  <si>
    <t>Databázový aplikační server</t>
  </si>
  <si>
    <t>2142114062</t>
  </si>
  <si>
    <t>Šumperk ÚO - telefonní ústředna</t>
  </si>
  <si>
    <t>2142114063</t>
  </si>
  <si>
    <t>SW pro operační řízení</t>
  </si>
  <si>
    <t>2142114064</t>
  </si>
  <si>
    <t>Prostějov ÚO - datový server</t>
  </si>
  <si>
    <t>2142114065</t>
  </si>
  <si>
    <t>2142114066</t>
  </si>
  <si>
    <t>Zabezpečení sítí</t>
  </si>
  <si>
    <t>2142114067</t>
  </si>
  <si>
    <t>Karviná ÚO, Nový Jičín ÚO - dodávka strukturované kabeláže</t>
  </si>
  <si>
    <t>2142114068</t>
  </si>
  <si>
    <t>SW pro KOPIS - Oracle Standard</t>
  </si>
  <si>
    <t>2142114069</t>
  </si>
  <si>
    <t>Router pro rozdělení sítě HZS Msk a ITS MV</t>
  </si>
  <si>
    <t>2142114070</t>
  </si>
  <si>
    <t>Technologie a SW připojení HZS k síti ITS MV</t>
  </si>
  <si>
    <t>2142114071</t>
  </si>
  <si>
    <t>Bělá pod Bezdězem - ovládání bezobslužné stanice HZS</t>
  </si>
  <si>
    <t>2142114072</t>
  </si>
  <si>
    <t>Doplnění KOPIS o chybějící pracoviště a záznamové zařízení</t>
  </si>
  <si>
    <t>2142114073</t>
  </si>
  <si>
    <t>Nákup zařízení pro evidenci majetku</t>
  </si>
  <si>
    <t>2142114074</t>
  </si>
  <si>
    <t>Technické zhodnocení telefonní ústředny</t>
  </si>
  <si>
    <t>2142114075</t>
  </si>
  <si>
    <t>Velkoformátová tiskárna</t>
  </si>
  <si>
    <t>2142114076</t>
  </si>
  <si>
    <t>Pořízení, provozování a podpora GIS pro OPIS HZS - dar</t>
  </si>
  <si>
    <t>2142114077</t>
  </si>
  <si>
    <t>Kolín operační středisko - modernizace</t>
  </si>
  <si>
    <t>2142114078</t>
  </si>
  <si>
    <t>Cisco switch Catalist a router 1721</t>
  </si>
  <si>
    <t>2142114079</t>
  </si>
  <si>
    <t>Ovládání bezobslužných stanic HZS Rakovník, Beroun a Kutná Hora</t>
  </si>
  <si>
    <t>2142114080</t>
  </si>
  <si>
    <t>Mladá Boleslav ÚO - integrované pracoviště Matra - Pegas</t>
  </si>
  <si>
    <t>2142114081</t>
  </si>
  <si>
    <t>Faxové zařízení přes e-mail pro stanice</t>
  </si>
  <si>
    <t>2142114082</t>
  </si>
  <si>
    <t>Vysílač pro systém JSVV</t>
  </si>
  <si>
    <t>2142114083</t>
  </si>
  <si>
    <t>Česká Lípa ÚO - vybudování technologií OPIS</t>
  </si>
  <si>
    <t>2142114084</t>
  </si>
  <si>
    <t>Pořízení velkoformátové tiskárny</t>
  </si>
  <si>
    <t>2142114085</t>
  </si>
  <si>
    <t>Svitavy ÚO - digitální telefonní ústředna</t>
  </si>
  <si>
    <t>2142114086</t>
  </si>
  <si>
    <t>Vybavení pracoviště GIS - velkoformátová tiskárna</t>
  </si>
  <si>
    <t>2142114087</t>
  </si>
  <si>
    <t>Upgrade Oracle</t>
  </si>
  <si>
    <t>2142114088</t>
  </si>
  <si>
    <t xml:space="preserve"> Dohledový a servisní software pro WAN ITS MV HZS ČR</t>
  </si>
  <si>
    <t>2142114089</t>
  </si>
  <si>
    <t>2140114047</t>
  </si>
  <si>
    <t>Evidence zpracování dokumentace DN - Lotus Notes</t>
  </si>
  <si>
    <t>2140114048</t>
  </si>
  <si>
    <t>Záloha redundance napájení centrálních serverů</t>
  </si>
  <si>
    <t>2140114049</t>
  </si>
  <si>
    <t>Navýšení licencí INFORMIX pro centr. servery</t>
  </si>
  <si>
    <t>2140114050</t>
  </si>
  <si>
    <t>Poskytování dat obecním policiím</t>
  </si>
  <si>
    <t>2140114051</t>
  </si>
  <si>
    <t>Centrum dopravních informací II. etapa</t>
  </si>
  <si>
    <t>2140114052</t>
  </si>
  <si>
    <t>Aplikace FODAGEN</t>
  </si>
  <si>
    <t>2140114053</t>
  </si>
  <si>
    <t>Rozšíření diskové kapacity pro IS UDÁLOST</t>
  </si>
  <si>
    <t>2140114054</t>
  </si>
  <si>
    <t>Rozvoj a obnova regionálních pracovišť NPC</t>
  </si>
  <si>
    <t>2140114055</t>
  </si>
  <si>
    <t>Souprava pro AKV - mobilní verze</t>
  </si>
  <si>
    <t>2140114056</t>
  </si>
  <si>
    <t>Modernizace systému DISPEČER</t>
  </si>
  <si>
    <t>2140114057</t>
  </si>
  <si>
    <t>Pracovní stanice PC</t>
  </si>
  <si>
    <t>2140114058</t>
  </si>
  <si>
    <t>RAI Výpočetní technika</t>
  </si>
  <si>
    <t>2140114059</t>
  </si>
  <si>
    <t>CZ020701 KOH projekty AFIS a EURODAC ČR</t>
  </si>
  <si>
    <t>2140114060</t>
  </si>
  <si>
    <t>KOH Program pomoci státům připravujícím se na vstup do EU</t>
  </si>
  <si>
    <t>2140114061</t>
  </si>
  <si>
    <t>KOH Mobilní výpočetní technika pro SCPP</t>
  </si>
  <si>
    <t>2140114062</t>
  </si>
  <si>
    <t>Obnova informačních systémů rezortu</t>
  </si>
  <si>
    <t>2140114063</t>
  </si>
  <si>
    <t>Informační systém ZÚSS</t>
  </si>
  <si>
    <t>2140114064</t>
  </si>
  <si>
    <t>VT pro Inspekci - ROAŘ</t>
  </si>
  <si>
    <t>2140114065</t>
  </si>
  <si>
    <t>Obnova reprodukce materiálu systému řízení útvarů MV</t>
  </si>
  <si>
    <t>214011R001</t>
  </si>
  <si>
    <t>Rezerva na financování v letech 2004-2006</t>
  </si>
  <si>
    <t>2140114066</t>
  </si>
  <si>
    <t>Pokrytí Sazka arény radiovým signálem</t>
  </si>
  <si>
    <t>2140114067</t>
  </si>
  <si>
    <t>PBX Kolín</t>
  </si>
  <si>
    <t>2140114068</t>
  </si>
  <si>
    <t>Rozšíření operačních středisek o integraci PEGAS</t>
  </si>
  <si>
    <t>2140114069</t>
  </si>
  <si>
    <t>Upgrade ATM pro objekt Pankrác</t>
  </si>
  <si>
    <t>2140114070</t>
  </si>
  <si>
    <t>IS "E-learning Ministerstva vnitra"</t>
  </si>
  <si>
    <t>2140114071</t>
  </si>
  <si>
    <t>Radioreléové spoje</t>
  </si>
  <si>
    <t>2140114072</t>
  </si>
  <si>
    <t>RAI Podpora oddělení Dublinského střediska</t>
  </si>
  <si>
    <t>2140114073</t>
  </si>
  <si>
    <t>Mobilní dataterminály pro útvary PČR</t>
  </si>
  <si>
    <t>Celkem z 214011</t>
  </si>
  <si>
    <t>2140120003</t>
  </si>
  <si>
    <t>S7</t>
  </si>
  <si>
    <t>2140120004</t>
  </si>
  <si>
    <t>Praha 7 Letná - 107</t>
  </si>
  <si>
    <t>2140120005</t>
  </si>
  <si>
    <t>Praha 7 Letná - chráněné pracoviště</t>
  </si>
  <si>
    <t>2140120016</t>
  </si>
  <si>
    <t>Hradec Králové - pracoviště IMV</t>
  </si>
  <si>
    <t>2140124001</t>
  </si>
  <si>
    <t>Kanice - zdvihací plošina</t>
  </si>
  <si>
    <t>Praha 4 Pankrác - dostavba parkovacích ploch</t>
  </si>
  <si>
    <t>2140124003</t>
  </si>
  <si>
    <t>Praha 4 Pankrác - digitalizace</t>
  </si>
  <si>
    <t>Praha 10 Přípotoční jídelna</t>
  </si>
  <si>
    <t>Praha 8 Střelničná - zabezpečení objektu</t>
  </si>
  <si>
    <t>Praha 8 Střelničná - rekonstrukce elektro</t>
  </si>
  <si>
    <t>UTS - Praha 8 Střelničná - zabezpečení objektu</t>
  </si>
  <si>
    <t>UTS - Praha 4 Centrotex - zabezpečení objektu</t>
  </si>
  <si>
    <t>2140124009</t>
  </si>
  <si>
    <t>technické zhodnocení budov</t>
  </si>
  <si>
    <t>2140124010</t>
  </si>
  <si>
    <t>Praha 7 Nad Štolou - rozšíření kamerového systému</t>
  </si>
  <si>
    <t>2140124011</t>
  </si>
  <si>
    <t>Praha 8 Střelničná - instalace klimatizace pro IMV MV</t>
  </si>
  <si>
    <t>2140124012</t>
  </si>
  <si>
    <t>Úprava části SVA "B" Na Pankráci</t>
  </si>
  <si>
    <t>2140124013</t>
  </si>
  <si>
    <t>Praha 4, Na Pankráci 72, objekt "B" - výstavba skladu</t>
  </si>
  <si>
    <t>2140124014</t>
  </si>
  <si>
    <t>Rozšíření EKV a Spojcentrum I. a II. etapa</t>
  </si>
  <si>
    <t>Celkem z 214012</t>
  </si>
  <si>
    <t>2140134001</t>
  </si>
  <si>
    <t>Nákup spotřebního materiálu ( karty na služební průkazy )</t>
  </si>
  <si>
    <t>RAI vybavení nábytkem přijímací středisko</t>
  </si>
  <si>
    <t>2140134003</t>
  </si>
  <si>
    <t>CZ981002 ŘLZ Výcviky a semináře</t>
  </si>
  <si>
    <t>2140134004</t>
  </si>
  <si>
    <t>CZ010705 Výcvik EFQM</t>
  </si>
  <si>
    <t>2140134005</t>
  </si>
  <si>
    <t>Kancelářské stroje a zařízení pro útvary MV</t>
  </si>
  <si>
    <t>2140134006</t>
  </si>
  <si>
    <t>Foto, ženíjní a chemický materiál pro útvary MV</t>
  </si>
  <si>
    <t>2140134007</t>
  </si>
  <si>
    <t>Zdravotní přístroje a zařízení pro útvary MV</t>
  </si>
  <si>
    <t>2140134008</t>
  </si>
  <si>
    <t>Obnova a doplnění parku MT 18 - konvektomat Spiritka</t>
  </si>
  <si>
    <t>2140134009</t>
  </si>
  <si>
    <t>Obnova a reprodukce majetku systému řízení útvarů MV</t>
  </si>
  <si>
    <t>Celkem z 214013</t>
  </si>
  <si>
    <t>2140170001</t>
  </si>
  <si>
    <t>Kanice - rekonstrukce ČOV + vodovod</t>
  </si>
  <si>
    <t>Celkem z 214017</t>
  </si>
  <si>
    <t>2140194001</t>
  </si>
  <si>
    <t>Netřeba - odstranění závad dle EA</t>
  </si>
  <si>
    <t>Praha 8 Střelničná - odstranění závad z EA</t>
  </si>
  <si>
    <t>Praha 10 Přípotoční - odstranění závad z EA</t>
  </si>
  <si>
    <t>Praha 7 Letná - odstranění závad z EA</t>
  </si>
  <si>
    <t>Praha 4 Pankrác - odstranění závad z EA</t>
  </si>
  <si>
    <t>2140194006</t>
  </si>
  <si>
    <t>Realizacce výstupů z energetických auditů</t>
  </si>
  <si>
    <t>214019R001</t>
  </si>
  <si>
    <t>Celkem z 214019</t>
  </si>
  <si>
    <t>Celkem z 214010</t>
  </si>
  <si>
    <t>2140214001</t>
  </si>
  <si>
    <t>Výpočetní technika</t>
  </si>
  <si>
    <t>2140214002</t>
  </si>
  <si>
    <t>Spojovací technika</t>
  </si>
  <si>
    <t>SPŠ Praha Hrdlořezy</t>
  </si>
  <si>
    <t>Nákup videorekordéru</t>
  </si>
  <si>
    <t>2140214004</t>
  </si>
  <si>
    <t>Nákup kamkordérů</t>
  </si>
  <si>
    <t>2140214005</t>
  </si>
  <si>
    <t>Zřízení učebny výpočetní techniky</t>
  </si>
  <si>
    <t>2140214006</t>
  </si>
  <si>
    <t>Nákup globálního pozičního systému</t>
  </si>
  <si>
    <t>2140214007</t>
  </si>
  <si>
    <t>2140214008</t>
  </si>
  <si>
    <t>Výpočetní technika - server, aktivní prvky</t>
  </si>
  <si>
    <t>Obnova výpočetní techniky na učebně č. 16</t>
  </si>
  <si>
    <t>Kopírovací stroj na barevný tisk</t>
  </si>
  <si>
    <t>2140214011</t>
  </si>
  <si>
    <t>Síťové propojení objektů</t>
  </si>
  <si>
    <t>2140214018</t>
  </si>
  <si>
    <t>Stravovací systém</t>
  </si>
  <si>
    <t>PC grafická stanice</t>
  </si>
  <si>
    <t>2140214020</t>
  </si>
  <si>
    <t>Výměna telefonní ústředny s propojením na policejní datovou a telefonní síť</t>
  </si>
  <si>
    <t>2140214021</t>
  </si>
  <si>
    <t>Nákup multimediálních projektorů</t>
  </si>
  <si>
    <t>2140214022</t>
  </si>
  <si>
    <t>Výpočetní technika - notebook</t>
  </si>
  <si>
    <t>2140214023</t>
  </si>
  <si>
    <t>Obnova výpočetní techniky</t>
  </si>
  <si>
    <t>Strukturovaná kabeláž-rozšíření technologické části</t>
  </si>
  <si>
    <t>Celkem z 214021</t>
  </si>
  <si>
    <t>2140220002</t>
  </si>
  <si>
    <t>SPŠ MV Brno - rekonstrukce bloku A</t>
  </si>
  <si>
    <t>SPŠ MV Jihlava - zámeček - půdní vestavba ubytovny - 3.etapa</t>
  </si>
  <si>
    <t>2140220017</t>
  </si>
  <si>
    <t>Strukturovaná kabeláž</t>
  </si>
  <si>
    <t>2140220019</t>
  </si>
  <si>
    <t>UTS-Úprava vstupu dozorčí kontrola vchodu</t>
  </si>
  <si>
    <t>Rekonstrukce elektroinstalace bloku B</t>
  </si>
  <si>
    <t>2140224002</t>
  </si>
  <si>
    <t>Osobní automobily a technické prostředky</t>
  </si>
  <si>
    <t>2140224003</t>
  </si>
  <si>
    <t>Vzduchotechnika III. etapa - objekt C</t>
  </si>
  <si>
    <t>2140224004</t>
  </si>
  <si>
    <t>Dopravní prostředky</t>
  </si>
  <si>
    <t>2140224005</t>
  </si>
  <si>
    <t>Zařízení pro gastronomii</t>
  </si>
  <si>
    <t>Rekonstrukce klimatizace v kuchyni</t>
  </si>
  <si>
    <t>2140224008</t>
  </si>
  <si>
    <t>Nákup digitálních fotopřístrojů</t>
  </si>
  <si>
    <t>Nákup automobilového trenažéru</t>
  </si>
  <si>
    <t>2140224010</t>
  </si>
  <si>
    <t>Nákup osobního automobilu  do 1600 ccm</t>
  </si>
  <si>
    <t>2140224011</t>
  </si>
  <si>
    <t>Nákup užitkového automobilu do 1600 ccm</t>
  </si>
  <si>
    <t>2140224012</t>
  </si>
  <si>
    <t>Osobní automobil</t>
  </si>
  <si>
    <t xml:space="preserve">Kancelářské stroje a ostatní zařízení </t>
  </si>
  <si>
    <t>Úprava vstupu dozorčí kontrola vchodu</t>
  </si>
  <si>
    <t xml:space="preserve">Vstupní systémy </t>
  </si>
  <si>
    <t>2140224017</t>
  </si>
  <si>
    <t>Digitální průtiskový stroj</t>
  </si>
  <si>
    <t>2140224019</t>
  </si>
  <si>
    <t>Chladící jednotky</t>
  </si>
  <si>
    <t>2140224020</t>
  </si>
  <si>
    <t>UTS-Elektronický přístupový systém</t>
  </si>
  <si>
    <t>2140224021</t>
  </si>
  <si>
    <t>Kartový stravovací systém</t>
  </si>
  <si>
    <t>2140224022</t>
  </si>
  <si>
    <t>Kopírovací stroj pro SMO</t>
  </si>
  <si>
    <t>2140224023</t>
  </si>
  <si>
    <t>Dataprojektor</t>
  </si>
  <si>
    <t>2140224024</t>
  </si>
  <si>
    <t>Výukový model-figurína pro výuku resuscitace</t>
  </si>
  <si>
    <t>2140224025</t>
  </si>
  <si>
    <t>Zařízení digitálního střihu</t>
  </si>
  <si>
    <t>2140224026</t>
  </si>
  <si>
    <t>Rekonstrukce topení Opatovice</t>
  </si>
  <si>
    <t>2140224027</t>
  </si>
  <si>
    <t>Rekonstrukce varny školní kuchyně</t>
  </si>
  <si>
    <t>2140224028</t>
  </si>
  <si>
    <t>Rekonstrukce elektroinstalace Opatovice</t>
  </si>
  <si>
    <t>2140224029</t>
  </si>
  <si>
    <t>Zateplení pláště Opatovice</t>
  </si>
  <si>
    <t>2140224030</t>
  </si>
  <si>
    <t>Vybudování parkoviště Opatovice</t>
  </si>
  <si>
    <t>2140224031</t>
  </si>
  <si>
    <t>Modernizace audiovizuálního sálu</t>
  </si>
  <si>
    <t>2140224032</t>
  </si>
  <si>
    <t>Rekonstrukce elektrorozvodů a osvětlení - I. etapa</t>
  </si>
  <si>
    <t>2140224033</t>
  </si>
  <si>
    <t>Kopírovací stroj</t>
  </si>
  <si>
    <t>2140224035</t>
  </si>
  <si>
    <t>Nákup kopírovací techniky</t>
  </si>
  <si>
    <t>2140224036</t>
  </si>
  <si>
    <t>Interaktivní tabule - SMARTBOARD</t>
  </si>
  <si>
    <t>2140224037</t>
  </si>
  <si>
    <t>SPŠ Pardubice Na Spravedlnosti 2516-VZT varny</t>
  </si>
  <si>
    <t>2140224038</t>
  </si>
  <si>
    <t>Strukturovaná kabeláž -rozšíření stavební části</t>
  </si>
  <si>
    <t>Celkem z 214022</t>
  </si>
  <si>
    <t>2140234001</t>
  </si>
  <si>
    <t>Rekonstrukce sociálního zařízení II. etapa</t>
  </si>
  <si>
    <t>Celkem z 214023</t>
  </si>
  <si>
    <t xml:space="preserve">Obměna kancelářských strojů a zařízení </t>
  </si>
  <si>
    <t>2140244002</t>
  </si>
  <si>
    <t>Obměna zahradní techniky</t>
  </si>
  <si>
    <t>Nákup průmyslového vysavače</t>
  </si>
  <si>
    <t xml:space="preserve">Obměna zdravotní techniky </t>
  </si>
  <si>
    <t xml:space="preserve">Stromovka-zázemí atletické haly </t>
  </si>
  <si>
    <t>2140244006</t>
  </si>
  <si>
    <t>Praha 7 Stromovka - kotelna k víceúčelové hale</t>
  </si>
  <si>
    <t>Nákup podlahového mycího stroje</t>
  </si>
  <si>
    <t>Celkem z 214024</t>
  </si>
  <si>
    <t>2140294001</t>
  </si>
  <si>
    <t>Realizace opatření z energetického auditu</t>
  </si>
  <si>
    <t>2140294002</t>
  </si>
  <si>
    <t>Zateplení severních fasád obj. A,B,C,D</t>
  </si>
  <si>
    <t>2140294003</t>
  </si>
  <si>
    <t>Realizace závěrů z energetického auditu</t>
  </si>
  <si>
    <t>2140294004</t>
  </si>
  <si>
    <t>2140294005</t>
  </si>
  <si>
    <t>Plzeň, Lobzy-zateplení objektu</t>
  </si>
  <si>
    <t>2140294006</t>
  </si>
  <si>
    <t>Výměna oken v učební a stravovací části budovy</t>
  </si>
  <si>
    <t>2140294007</t>
  </si>
  <si>
    <t>2140294008</t>
  </si>
  <si>
    <t>Zateplení objektu "Rota" - Praha 7-Stromovka</t>
  </si>
  <si>
    <t>2140294009</t>
  </si>
  <si>
    <t>Výměna oken v aule</t>
  </si>
  <si>
    <t>2140294010</t>
  </si>
  <si>
    <t>Objekt Stříbrnická 9 - Ústí nad Labem - odstranění závad dle EA</t>
  </si>
  <si>
    <t>Jablonec nad Nisou,ubytovna-osazení termoregulačních ventilů</t>
  </si>
  <si>
    <t>2140294012</t>
  </si>
  <si>
    <t>Praha 7,Stromovka-zateplení objektu provozních dílen</t>
  </si>
  <si>
    <t>Celkem z 214029</t>
  </si>
  <si>
    <t>Celkem z 214020</t>
  </si>
  <si>
    <t>2140314001</t>
  </si>
  <si>
    <t>Datový sklad pro SÚA</t>
  </si>
  <si>
    <t>2140314002</t>
  </si>
  <si>
    <t>2140314003</t>
  </si>
  <si>
    <t>2140314004</t>
  </si>
  <si>
    <t>Notebook pro Státní oblastní archiv v Litoměřicích</t>
  </si>
  <si>
    <t>2140314005</t>
  </si>
  <si>
    <t>Nákup notebooku</t>
  </si>
  <si>
    <t>2140314006</t>
  </si>
  <si>
    <t>Nákup PC</t>
  </si>
  <si>
    <t>2140314007</t>
  </si>
  <si>
    <t>2140314008</t>
  </si>
  <si>
    <t>Pořízení a obměna HW v Zemském archivu v Opavě</t>
  </si>
  <si>
    <t>2140314009</t>
  </si>
  <si>
    <t>Kancelářský SW</t>
  </si>
  <si>
    <t>2140314010</t>
  </si>
  <si>
    <t>SOkA Pelhřimov - modernizace EPS</t>
  </si>
  <si>
    <t>2140314011</t>
  </si>
  <si>
    <t>Doplnění systému EPS ve 4.NP SOkA Jičín</t>
  </si>
  <si>
    <t>Celkem z 214031</t>
  </si>
  <si>
    <t>2140320003</t>
  </si>
  <si>
    <t>Bruntál - výkup a rekonstrukce objektu na archiv</t>
  </si>
  <si>
    <t>2140320013</t>
  </si>
  <si>
    <t>SOA Litoměřice - vybudování badatelny v kapitulní síni</t>
  </si>
  <si>
    <t>2140320022</t>
  </si>
  <si>
    <t>SOkA Jihlava - rekonstrukce  na depozitář</t>
  </si>
  <si>
    <t>Benešov - rekonstrukce kotelny</t>
  </si>
  <si>
    <t>2140324001</t>
  </si>
  <si>
    <t>Zateplení objektu SÚA M.Horákové</t>
  </si>
  <si>
    <t>2140324002</t>
  </si>
  <si>
    <t>Rekonstrukce kotelny SÚA M.Horákové</t>
  </si>
  <si>
    <t>MZA Brno - zakoupení pozemku nebo pozemku s budovou</t>
  </si>
  <si>
    <t>Rekonstrukce 2.NP převzaté budovy na depozitář (dostavba)</t>
  </si>
  <si>
    <t>Analýza a tvorba komunikačního a informačního portálu - I.etapa PEGAS</t>
  </si>
  <si>
    <t>2142114090</t>
  </si>
  <si>
    <t>Digitální projektor</t>
  </si>
  <si>
    <t>2142114091</t>
  </si>
  <si>
    <t>Pořízení masteru včetně ocenitelných práv</t>
  </si>
  <si>
    <t>2142114092</t>
  </si>
  <si>
    <t>Komunikační připojení KŘ HZS do ITS MV</t>
  </si>
  <si>
    <t>2142114093</t>
  </si>
  <si>
    <t>Připojení krajského OPIS do ITS MV</t>
  </si>
  <si>
    <t>2142114094</t>
  </si>
  <si>
    <t>Dodávka a montáž anténního stožáru</t>
  </si>
  <si>
    <t>2142114095</t>
  </si>
  <si>
    <t>Systém ovládání RDST pro KOPIS</t>
  </si>
  <si>
    <t>2142114096</t>
  </si>
  <si>
    <t>Záznamové zařízení KOPIS</t>
  </si>
  <si>
    <t>2142114097</t>
  </si>
  <si>
    <t>Pořízení stolního počítače pro GIS</t>
  </si>
  <si>
    <t>2142114098</t>
  </si>
  <si>
    <t>Projekční zařízení pro krajské OPIS</t>
  </si>
  <si>
    <t>2142114099</t>
  </si>
  <si>
    <t>Konferenční dataprojektor</t>
  </si>
  <si>
    <t>2142114100</t>
  </si>
  <si>
    <t>Brno HZS, Cihlářská/Lidická - vedlejší objekty KŘ a přilehlé nádvoří - EZS</t>
  </si>
  <si>
    <t>2142114101</t>
  </si>
  <si>
    <t>Audio video prezentační technika</t>
  </si>
  <si>
    <t>2142114102</t>
  </si>
  <si>
    <t>Upgrade VEMA</t>
  </si>
  <si>
    <t>2142114103</t>
  </si>
  <si>
    <t>Zabezpečení datových sítí KŘ</t>
  </si>
  <si>
    <t>2142114104</t>
  </si>
  <si>
    <t>Tiskárna s kopírovacím příslušenstvím</t>
  </si>
  <si>
    <t>2142114105</t>
  </si>
  <si>
    <t>Ozvučovací systém</t>
  </si>
  <si>
    <t>Optotrasa - optické vlákno SM 9/125</t>
  </si>
  <si>
    <t>2142114107</t>
  </si>
  <si>
    <t>Technologické vybavení pro dálkové ovládání stanice</t>
  </si>
  <si>
    <t>2142114108</t>
  </si>
  <si>
    <t>Technologie KOPIS</t>
  </si>
  <si>
    <t>Celkem z 214211</t>
  </si>
  <si>
    <t xml:space="preserve">SOŠ PO a VOŠ PO Frýdek-Místek - rekonstrukce budovy B </t>
  </si>
  <si>
    <t>Roudnice nad Labem PS - stavební úpravy objektu bývalé vodárny</t>
  </si>
  <si>
    <t>2142120025</t>
  </si>
  <si>
    <t>2142124001</t>
  </si>
  <si>
    <t>Brno OUPO - výcviková plocha</t>
  </si>
  <si>
    <t>2142124002</t>
  </si>
  <si>
    <t>Olomouc OZ provozní hala - modernizace vytápění</t>
  </si>
  <si>
    <t>2142124003</t>
  </si>
  <si>
    <t>Olomouc OZ - příjezdová komunikace</t>
  </si>
  <si>
    <t>2142124004</t>
  </si>
  <si>
    <t>UTS - Kontrola vstupu na HS 1</t>
  </si>
  <si>
    <t>2142124005</t>
  </si>
  <si>
    <t>Vybudování PC sítě</t>
  </si>
  <si>
    <t>2142124006</t>
  </si>
  <si>
    <t>Přestavba vstupní haly KŘ na archiv a kanceláře</t>
  </si>
  <si>
    <t>2142124007</t>
  </si>
  <si>
    <t>Mariánské Lázně HZS - výstavba PS</t>
  </si>
  <si>
    <t>2142124008</t>
  </si>
  <si>
    <t>UTS - Louny ÚO - bezpečnostní dveře a mříž</t>
  </si>
  <si>
    <t>2142124009</t>
  </si>
  <si>
    <t>UTS - Litoměřice ÚO - pracoviště a úschovna utajovaných skutečností</t>
  </si>
  <si>
    <t>Roudnice nad Labem - výstavba PS</t>
  </si>
  <si>
    <t>2142124011</t>
  </si>
  <si>
    <t>Žatec ÚO č.p. 768 - rekonstrukce PS</t>
  </si>
  <si>
    <t>2142124012</t>
  </si>
  <si>
    <t>Turnov- výkup pozemku</t>
  </si>
  <si>
    <t>2142124013</t>
  </si>
  <si>
    <t>Holice- výkup pozemku</t>
  </si>
  <si>
    <t>2142124014</t>
  </si>
  <si>
    <t>Polička - výkup pozemku</t>
  </si>
  <si>
    <t>2142124015</t>
  </si>
  <si>
    <t>UTS - zabezpečení objektu KŘ Štefánikova 32</t>
  </si>
  <si>
    <t xml:space="preserve">UTS  - Brno Veveří 40 - zabezpečení objektu </t>
  </si>
  <si>
    <t>2142124017</t>
  </si>
  <si>
    <t>Brno Tišnov- výkup pozemku</t>
  </si>
  <si>
    <t>Boskovice- výkup pozemků</t>
  </si>
  <si>
    <t>2142124019</t>
  </si>
  <si>
    <t>Otrokovice PS- vybudování signalizace</t>
  </si>
  <si>
    <t>2142124020</t>
  </si>
  <si>
    <t>UTS - Systém zabezpečení objektu HZS</t>
  </si>
  <si>
    <t>2142124021</t>
  </si>
  <si>
    <t>Olomouc, Schweitzerova 91 V. NP -rekonstrukce</t>
  </si>
  <si>
    <t>2142124022</t>
  </si>
  <si>
    <t>UTS - Karviná CHS - realizace zabezpečených oblastí</t>
  </si>
  <si>
    <t>2142124023</t>
  </si>
  <si>
    <t>Ostrava CPS (Zábřeh) - rozšíření</t>
  </si>
  <si>
    <t>2142124024</t>
  </si>
  <si>
    <t>Frýdek-Místek OUPO - vjezdová vrata</t>
  </si>
  <si>
    <t>2142124025</t>
  </si>
  <si>
    <t>Brno OUPO-rekonstrukce odsávacího zařízení kuchyně</t>
  </si>
  <si>
    <t>2142124026</t>
  </si>
  <si>
    <t>Hořovice HZS - výkup pozemku</t>
  </si>
  <si>
    <t>2142124027</t>
  </si>
  <si>
    <t>Rychnov nad Kněžnou PS - rekonstrukce stravovacího úseku (dar)</t>
  </si>
  <si>
    <t>2142124028</t>
  </si>
  <si>
    <t>Dobruška PS - modernizace vjezdových vrat (dar)</t>
  </si>
  <si>
    <t>2142124029</t>
  </si>
  <si>
    <t>Lísek - rekreační chata č.17 - vrtaná studna</t>
  </si>
  <si>
    <t>2142124030</t>
  </si>
  <si>
    <t>Rekonstrukce elektroinstalace a osvětlení v budově KŘ</t>
  </si>
  <si>
    <t>2142124031</t>
  </si>
  <si>
    <t>P4-Kloknerova - chlazení prostoru technického zázemí OS</t>
  </si>
  <si>
    <t>2142124032</t>
  </si>
  <si>
    <t>Olomouc opravárenský závod - výdejna stravy</t>
  </si>
  <si>
    <t>2142124033</t>
  </si>
  <si>
    <t>Horní Lomná RS - úprava a doplnění výbavy</t>
  </si>
  <si>
    <t>2142124034</t>
  </si>
  <si>
    <t>Liberec Barvířská 29/10 - rekonstrukce vytápěcí soustavy v budově KŘ</t>
  </si>
  <si>
    <t>2142124035</t>
  </si>
  <si>
    <t>Brno OUPO - výstavba víceúčelové výcvikové haly</t>
  </si>
  <si>
    <t>2142124036</t>
  </si>
  <si>
    <t>Tachov PS - stavební úpravy</t>
  </si>
  <si>
    <t>2142124037</t>
  </si>
  <si>
    <t>Raspenava PS - rekonstrukce vytápěcí soustavy</t>
  </si>
  <si>
    <t>2142124038</t>
  </si>
  <si>
    <t>Vysoké Mýto PS - rekonstrukce kotelny</t>
  </si>
  <si>
    <t>2142124039</t>
  </si>
  <si>
    <t>Neratovice HZS - rekonstrukce stanice</t>
  </si>
  <si>
    <t>2142124040</t>
  </si>
  <si>
    <t>Ledeč PS - odsávání výfukových plynů z výjezdových garáží, dílny a kuchyňky</t>
  </si>
  <si>
    <t>2142124041</t>
  </si>
  <si>
    <t>Sokolov CS ložnice - klimatizace a vzduchotechnika</t>
  </si>
  <si>
    <t>2142124042</t>
  </si>
  <si>
    <t>Sokolov CS - odsávání spalin z výjezdových garáží</t>
  </si>
  <si>
    <t>2142124043</t>
  </si>
  <si>
    <t>Brno HZS, Cihlářská/Lidická - vedlejší objekty KŘ a přilehlé nádvoří - stav. část</t>
  </si>
  <si>
    <t>2142124044</t>
  </si>
  <si>
    <t>Brno OUPO - výstavba garáží</t>
  </si>
  <si>
    <t>Pelhřimov CPS - odsávání výjezdových garáží</t>
  </si>
  <si>
    <t>2142124046</t>
  </si>
  <si>
    <t>Opava HS - dodávka centrálního odsávání garáží</t>
  </si>
  <si>
    <t>2142124047</t>
  </si>
  <si>
    <t>Orlová HS - dodávka a montáž elektromechanických pohonů výjezdových vrat</t>
  </si>
  <si>
    <t>Celkem z 214212</t>
  </si>
  <si>
    <t>2142130069</t>
  </si>
  <si>
    <t>Vyprošťovací automobil do 30t-základní provedení</t>
  </si>
  <si>
    <t>2142134001</t>
  </si>
  <si>
    <t>UTS - Praha 4 Kloknerova -kamerový systém kontroly pohybu a činnosti osob</t>
  </si>
  <si>
    <t>2142134002</t>
  </si>
  <si>
    <t>Reprodukce automobilní techniky GŘ HZS</t>
  </si>
  <si>
    <t>2142134003</t>
  </si>
  <si>
    <t>Reprodukce strojů a zařízení GŘ HZS</t>
  </si>
  <si>
    <t>2142134004</t>
  </si>
  <si>
    <t>Brno OUPO - reprodukce výukových strojů a zařízení</t>
  </si>
  <si>
    <t>2142134005</t>
  </si>
  <si>
    <t>CAS základ.</t>
  </si>
  <si>
    <t>2142134006</t>
  </si>
  <si>
    <t>Malá vyprošťovací technika</t>
  </si>
  <si>
    <t>2142134007</t>
  </si>
  <si>
    <t>Vyšetřovací automobil</t>
  </si>
  <si>
    <t>2142134008</t>
  </si>
  <si>
    <t>Přepravník nakladače BOBCAT</t>
  </si>
  <si>
    <t>2142134009</t>
  </si>
  <si>
    <t>Staniční hospodářské vozidlo</t>
  </si>
  <si>
    <t>2142134010</t>
  </si>
  <si>
    <t>Frankovací stroj</t>
  </si>
  <si>
    <t>Rozmnožovací stroj Minolta</t>
  </si>
  <si>
    <t>UTS - Kladno - sledování pohybu osob v objektu - 1.etapa</t>
  </si>
  <si>
    <t>2142134013</t>
  </si>
  <si>
    <t>Pořízení CAS speciální</t>
  </si>
  <si>
    <t>Rekonstrukce CAS základní</t>
  </si>
  <si>
    <t>2142134015</t>
  </si>
  <si>
    <t>Rekonstrukce CAS speciální</t>
  </si>
  <si>
    <t>2142134016</t>
  </si>
  <si>
    <t>Hydraulické vyprošťovací zařízení</t>
  </si>
  <si>
    <t>2142134017</t>
  </si>
  <si>
    <t>Kompresor 30 MPa</t>
  </si>
  <si>
    <t>2142134018</t>
  </si>
  <si>
    <t>Kamenice CHL a ŠS - přenosný digitální plynový chromatograf</t>
  </si>
  <si>
    <t>2142134019</t>
  </si>
  <si>
    <t>Dýchací přístroje</t>
  </si>
  <si>
    <t>2142134020</t>
  </si>
  <si>
    <t>Pořízení ostatních strojů a zařízení</t>
  </si>
  <si>
    <t>2142134021</t>
  </si>
  <si>
    <t>UTS - České Budějovice - kontrola vstupu osob</t>
  </si>
  <si>
    <t>2142134022</t>
  </si>
  <si>
    <t>Cisternová automobilová stříkačka</t>
  </si>
  <si>
    <t>2142134023</t>
  </si>
  <si>
    <t>Rekonstrukce AVIA DA 12</t>
  </si>
  <si>
    <t>2142134024</t>
  </si>
  <si>
    <t>Rekonstrukce CAS 25</t>
  </si>
  <si>
    <t>2142134025</t>
  </si>
  <si>
    <t>Vyprošťovací zařízení</t>
  </si>
  <si>
    <t>2142134026</t>
  </si>
  <si>
    <t>Osobní automobily Škoda Fabia</t>
  </si>
  <si>
    <t>2142134027</t>
  </si>
  <si>
    <t>2142134028</t>
  </si>
  <si>
    <t>UTS - Třemošná ŠS - rozšíření EZS pro zabezpečení laboratorní části</t>
  </si>
  <si>
    <t>2142134029</t>
  </si>
  <si>
    <t>Plzeň Kaplířova 9 - zajištění bezpečnosti CHZ a ZO v I. a II. NP na KŘ</t>
  </si>
  <si>
    <t>2142134030</t>
  </si>
  <si>
    <t>Technické zhodnocení CAS 24</t>
  </si>
  <si>
    <t>2142134031</t>
  </si>
  <si>
    <t>Technické zhodnocení CAS</t>
  </si>
  <si>
    <t>2142134032</t>
  </si>
  <si>
    <t>Technické zhodnocení aut. žebříku AZ 30</t>
  </si>
  <si>
    <t>2142134033</t>
  </si>
  <si>
    <t>Vyprošťovací hydraulické zařízení</t>
  </si>
  <si>
    <t>Velitelský automobil VEA 2</t>
  </si>
  <si>
    <t>2142134035</t>
  </si>
  <si>
    <t>Prostředky pro dekontaminaci osob</t>
  </si>
  <si>
    <t>Osobní automobil pro krajského ředitele</t>
  </si>
  <si>
    <t>2142134037</t>
  </si>
  <si>
    <t>Přenosný digitální plynový chromatograf</t>
  </si>
  <si>
    <t>2142134038</t>
  </si>
  <si>
    <t>UTS - venkovní kamerový systém</t>
  </si>
  <si>
    <t>2142134039</t>
  </si>
  <si>
    <t>UTS - systém EZS</t>
  </si>
  <si>
    <t>2142134040</t>
  </si>
  <si>
    <t>UTS - certifikované mechanické zábranné prostředky</t>
  </si>
  <si>
    <t>2142134041</t>
  </si>
  <si>
    <t>UTS - certifikované úschovné prostředky</t>
  </si>
  <si>
    <t>2142134042</t>
  </si>
  <si>
    <t>Cheb ÚO a CS - CAS 24 4x4 s vybavením</t>
  </si>
  <si>
    <t>2142134043</t>
  </si>
  <si>
    <t>Osobní automobil Škoda FABIA</t>
  </si>
  <si>
    <t>2142134044</t>
  </si>
  <si>
    <t>UTS - Louny ÚO - pracoviště a úschovna utajovaných skutečností</t>
  </si>
  <si>
    <t>2142134045</t>
  </si>
  <si>
    <t>2142134046</t>
  </si>
  <si>
    <t>CAS 24 - základní</t>
  </si>
  <si>
    <t>2142134047</t>
  </si>
  <si>
    <t>Rekonstrukce CAS 24</t>
  </si>
  <si>
    <t>2142134048</t>
  </si>
  <si>
    <t>Nosič kontejneru</t>
  </si>
  <si>
    <t>2142134049</t>
  </si>
  <si>
    <t>Rekonstrukce CAS 32</t>
  </si>
  <si>
    <t>2142134050</t>
  </si>
  <si>
    <t>Mikrobus pro 9 osob</t>
  </si>
  <si>
    <t>2142134051</t>
  </si>
  <si>
    <t>Louny ÚO - dýchací přístroje Dräger</t>
  </si>
  <si>
    <t xml:space="preserve">Louny ÚO - měřící skříňka Dräger - Testor </t>
  </si>
  <si>
    <t>2142134053</t>
  </si>
  <si>
    <t>Požární kontejner chemický</t>
  </si>
  <si>
    <t>2142134054</t>
  </si>
  <si>
    <t>UTS - Liberec KŘ a ÚO - nákup prostředků pro ochranu utajovaných skutečností</t>
  </si>
  <si>
    <t>2142134055</t>
  </si>
  <si>
    <t>Rekonstrukce mobilní požární techniky T 815 CAS 32</t>
  </si>
  <si>
    <t>2142134056</t>
  </si>
  <si>
    <t>Osobní automobily 2 ks</t>
  </si>
  <si>
    <t>2142134057</t>
  </si>
  <si>
    <t>2142134058</t>
  </si>
  <si>
    <t>Reprodukce ostatních strojů a zařízení</t>
  </si>
  <si>
    <t>2142134059</t>
  </si>
  <si>
    <t>Automobilový žebřík nad 30 m</t>
  </si>
  <si>
    <t>2142134060</t>
  </si>
  <si>
    <t>UTS - integrovaný bezpečnostní systém OPIS</t>
  </si>
  <si>
    <t>2142134061</t>
  </si>
  <si>
    <t>CAS 24 pro hašení lesních požárů</t>
  </si>
  <si>
    <t>2142134062</t>
  </si>
  <si>
    <t>Dvůr Králové PS - rekonstrukce T 815 CAS 32</t>
  </si>
  <si>
    <t>2142134063</t>
  </si>
  <si>
    <t>Nový Bydžov PS - rekonstrukce T 815 CAS 32</t>
  </si>
  <si>
    <t>2142134064</t>
  </si>
  <si>
    <t>Dekontaminační stan</t>
  </si>
  <si>
    <t>2142134065</t>
  </si>
  <si>
    <t>Zkušební stolice na tlakové láhve</t>
  </si>
  <si>
    <t>2142134066</t>
  </si>
  <si>
    <t>Přívěs pod člun</t>
  </si>
  <si>
    <t>2142134067</t>
  </si>
  <si>
    <t>Vzduchový dýchací přístroj Pluto</t>
  </si>
  <si>
    <t>Přetlakový ventilátor PAPIN 600</t>
  </si>
  <si>
    <t>2142134069</t>
  </si>
  <si>
    <t>Nosič kontejnerů</t>
  </si>
  <si>
    <t>2142134070</t>
  </si>
  <si>
    <t>Skartovací stroj</t>
  </si>
  <si>
    <t>CAS 24 6x6</t>
  </si>
  <si>
    <t>2142134072</t>
  </si>
  <si>
    <t>Rekonstrukce výložníku</t>
  </si>
  <si>
    <t>2142134073</t>
  </si>
  <si>
    <t>Rekonstrukce nástavby CAS 24 T 815 6x6</t>
  </si>
  <si>
    <t>2142134074</t>
  </si>
  <si>
    <t>Pořízení strojů  a zařízení pro zabezpečení provozu</t>
  </si>
  <si>
    <t>2142134075</t>
  </si>
  <si>
    <t>UTS - Havlíčkův Brod CPS - dobudování perimetrické ostrahy</t>
  </si>
  <si>
    <t>2142134076</t>
  </si>
  <si>
    <t>UTS - Jihlava  CPS - dobudování perimetrické ostrahy</t>
  </si>
  <si>
    <t>2142134077</t>
  </si>
  <si>
    <t>UTS - Třebíč CPS - vybudování kamerového systému</t>
  </si>
  <si>
    <t>2142134078</t>
  </si>
  <si>
    <t>Praha 11, Litochleby, Machkova 2127 - výměna stávajících oken</t>
  </si>
  <si>
    <t>2140494013</t>
  </si>
  <si>
    <t>Praha 11, Litochleby, Machkova 2128 - výměna stávajících oken</t>
  </si>
  <si>
    <t>Celkem z 214049</t>
  </si>
  <si>
    <t>Celkem z 214040</t>
  </si>
  <si>
    <t>2140514001</t>
  </si>
  <si>
    <t>Systém včasné intervence Svitavy</t>
  </si>
  <si>
    <t>Město Svitavy</t>
  </si>
  <si>
    <t>2140514002</t>
  </si>
  <si>
    <t>Evidence událostí</t>
  </si>
  <si>
    <t>Statutární město Kladno</t>
  </si>
  <si>
    <t>2140514003</t>
  </si>
  <si>
    <t>Bezpečný Jablonec - II. etapa</t>
  </si>
  <si>
    <t>Město Jablonec nad Nisou</t>
  </si>
  <si>
    <t>Celkem z 214051</t>
  </si>
  <si>
    <t>2140520080</t>
  </si>
  <si>
    <t>MKDS-II. etapa + propojení s OŘ PČR</t>
  </si>
  <si>
    <t>Město Uherské Hradiště</t>
  </si>
  <si>
    <t>2140520086</t>
  </si>
  <si>
    <t>Bezpečná lokalita Brno, městská část Vinohrady</t>
  </si>
  <si>
    <t>Statutární město Brno, Městská část Brno - Vinohrady</t>
  </si>
  <si>
    <t>2140524001</t>
  </si>
  <si>
    <t>Městský kamerový monitorovací systém - II. etapa</t>
  </si>
  <si>
    <t>Město Strakonice</t>
  </si>
  <si>
    <t>2140524002</t>
  </si>
  <si>
    <t>Výstavba MKDS - III. etapa</t>
  </si>
  <si>
    <t>Město Brandýs nad Labem - Stará Boleslav</t>
  </si>
  <si>
    <t>2140524003</t>
  </si>
  <si>
    <t>Pult centralizované ochrany a jeho integrace do MKDS</t>
  </si>
  <si>
    <t>2140524004</t>
  </si>
  <si>
    <t>Integrace městského rozhlasu do MKDS</t>
  </si>
  <si>
    <t>Město Slaný</t>
  </si>
  <si>
    <t>2140524005</t>
  </si>
  <si>
    <t>Výchovně - preventivní radar měření rychlosti</t>
  </si>
  <si>
    <t>Město Písek</t>
  </si>
  <si>
    <t>2140524006</t>
  </si>
  <si>
    <t>MKMS - kamerový bod ulice Žižkova</t>
  </si>
  <si>
    <t>2140524007</t>
  </si>
  <si>
    <t>Městský kamerový monitorovací systém - III. etapa</t>
  </si>
  <si>
    <t>Město Nový Bor</t>
  </si>
  <si>
    <t>2140524008</t>
  </si>
  <si>
    <t>Propojení městského kamerového dohlížecího systému se služebnou OO PČR</t>
  </si>
  <si>
    <t>Město Neratovice</t>
  </si>
  <si>
    <t>2140524009</t>
  </si>
  <si>
    <t>Mobilní kamerový systém</t>
  </si>
  <si>
    <t>Město Frýdlant nad Ostravicí</t>
  </si>
  <si>
    <t>2140524010</t>
  </si>
  <si>
    <t>Výstavba skate překážky</t>
  </si>
  <si>
    <t>Město Karlovy Vary</t>
  </si>
  <si>
    <t>2140524011</t>
  </si>
  <si>
    <t>Kamerový systém</t>
  </si>
  <si>
    <t>Město Špindlerův Mlýn</t>
  </si>
  <si>
    <t>2140524012</t>
  </si>
  <si>
    <t>Městský kamerový systém</t>
  </si>
  <si>
    <t>Město Třeboň</t>
  </si>
  <si>
    <t>2140524013</t>
  </si>
  <si>
    <t>Město Česká Lípa</t>
  </si>
  <si>
    <t>2140524014</t>
  </si>
  <si>
    <t>Rozšíření MKDS - III. etapa</t>
  </si>
  <si>
    <t>2140524015</t>
  </si>
  <si>
    <t>Městský kamerový a dohlížecí systém</t>
  </si>
  <si>
    <t>Město Horní Slavkov</t>
  </si>
  <si>
    <t>2140524016</t>
  </si>
  <si>
    <t>Městský kamerový dohlížecí systém</t>
  </si>
  <si>
    <t>Město Ostrov</t>
  </si>
  <si>
    <t>2140524017</t>
  </si>
  <si>
    <t>Vybudování MKDS v Jaroměři - I. etapa</t>
  </si>
  <si>
    <t>Město Jaroměř</t>
  </si>
  <si>
    <t>2140524018</t>
  </si>
  <si>
    <t>Radarový měřič rychlosti</t>
  </si>
  <si>
    <t>Město Tábor</t>
  </si>
  <si>
    <t>2140524019</t>
  </si>
  <si>
    <t>Město Benešov</t>
  </si>
  <si>
    <t>2140524020</t>
  </si>
  <si>
    <t>Městský kamerový dohlížecí systém MKDS  III. etapa</t>
  </si>
  <si>
    <t>Město Kyjov</t>
  </si>
  <si>
    <t>2140524021</t>
  </si>
  <si>
    <t>Mobilní kamerový bod MKS</t>
  </si>
  <si>
    <t>Statutární město Pardubice</t>
  </si>
  <si>
    <t>2140524022</t>
  </si>
  <si>
    <t>Kamerový monitorovací systém</t>
  </si>
  <si>
    <t>Město Nejdek</t>
  </si>
  <si>
    <t>2140524023</t>
  </si>
  <si>
    <t>Mobilní kamerová jednotka</t>
  </si>
  <si>
    <t>2140524024</t>
  </si>
  <si>
    <t>Městský kamerový dohlížecí systém V. etapa</t>
  </si>
  <si>
    <t>Město Litvínov</t>
  </si>
  <si>
    <t>2140524025</t>
  </si>
  <si>
    <t>Preventivní měření rychlosti vozidel</t>
  </si>
  <si>
    <t>Město Uničov</t>
  </si>
  <si>
    <t>2140524026</t>
  </si>
  <si>
    <t>Propojení městského kamerového systému na Policii ČR</t>
  </si>
  <si>
    <t>Město Rožnov pod Radhoštěm</t>
  </si>
  <si>
    <t>2140524027</t>
  </si>
  <si>
    <t>Propojení MKMS s PČR včetně rozšíření stávajícího systému</t>
  </si>
  <si>
    <t>Město Kroměříž</t>
  </si>
  <si>
    <t>2140524028</t>
  </si>
  <si>
    <t>Riziková lokalita sportovních a obchodních center</t>
  </si>
  <si>
    <t>Statutární město Olomouc</t>
  </si>
  <si>
    <t>2140524029</t>
  </si>
  <si>
    <t>Městský kamerový dohlížecí systém Mnichovo Hradiště- I. etapa</t>
  </si>
  <si>
    <t>Město Mnichovo Hradiště</t>
  </si>
  <si>
    <t>2140524030</t>
  </si>
  <si>
    <t>Mládež a volný čas</t>
  </si>
  <si>
    <t>Město Litovel</t>
  </si>
  <si>
    <t>2140524031</t>
  </si>
  <si>
    <t>Městský kamerový dohlížecí systém - II. etapa</t>
  </si>
  <si>
    <t>Město Otrokovice</t>
  </si>
  <si>
    <t>2140524032</t>
  </si>
  <si>
    <t>Pult centrální ochrany NAM GLOBAL</t>
  </si>
  <si>
    <t>Město Dubí</t>
  </si>
  <si>
    <t>2140524033</t>
  </si>
  <si>
    <t>Město Ústí nad Orlicí</t>
  </si>
  <si>
    <t>2140524034</t>
  </si>
  <si>
    <t>Městský kamerový dohlížecí systém - III. etapa</t>
  </si>
  <si>
    <t>Město Říčany</t>
  </si>
  <si>
    <t>2140524035</t>
  </si>
  <si>
    <t>Město Čelákovice</t>
  </si>
  <si>
    <t>2140524036</t>
  </si>
  <si>
    <t>Zařízení pro záznam a archivaci telefonních hovorů a rádiového provozu</t>
  </si>
  <si>
    <t>Město Boskovice</t>
  </si>
  <si>
    <t>2140524037</t>
  </si>
  <si>
    <t>III. etapa kamerového systému - mobilní kamery</t>
  </si>
  <si>
    <t>2140524038</t>
  </si>
  <si>
    <t>Městský kamerový dohlížecí systém - IV. etapa</t>
  </si>
  <si>
    <t>2140524039</t>
  </si>
  <si>
    <t>Monitorovací kamerový systém Město Vyškov</t>
  </si>
  <si>
    <t>Město Vyškov</t>
  </si>
  <si>
    <t>2140524040</t>
  </si>
  <si>
    <t>Městský kamerový systém Jičín</t>
  </si>
  <si>
    <t>Město Jičín</t>
  </si>
  <si>
    <t>2140524042</t>
  </si>
  <si>
    <t>Kamerový monitorovací systém, Chodov</t>
  </si>
  <si>
    <t>Město Chodov</t>
  </si>
  <si>
    <t>2140524043</t>
  </si>
  <si>
    <t>Skatepark Příbor</t>
  </si>
  <si>
    <t>Město Příbor</t>
  </si>
  <si>
    <t>2140524044</t>
  </si>
  <si>
    <t>Dálkový monitorovací kamerový systém Děčín</t>
  </si>
  <si>
    <t>Město Děčín</t>
  </si>
  <si>
    <t>2140524045</t>
  </si>
  <si>
    <t>Radar Display RD - 400 a radar Display RD - 190</t>
  </si>
  <si>
    <t>2140524046</t>
  </si>
  <si>
    <t>Pořízení mobilní videokamery pro MO PČR Čestlice</t>
  </si>
  <si>
    <t>Obec Čestlice</t>
  </si>
  <si>
    <t>2140524047</t>
  </si>
  <si>
    <t>Město Blansko</t>
  </si>
  <si>
    <t>2140524048</t>
  </si>
  <si>
    <t>Propojení služeben MP a OO PČR v Bílovci</t>
  </si>
  <si>
    <t>Město Bílovec</t>
  </si>
  <si>
    <t>2140524049</t>
  </si>
  <si>
    <t>Vybudování skateparku při Domu Dětí a mládeže v Bílovci</t>
  </si>
  <si>
    <t>2140524050</t>
  </si>
  <si>
    <t>Kamerový monitorovací systém v oblasti Frýdlantských mostů a ulice 28.října</t>
  </si>
  <si>
    <t>Statutární město Ostrava</t>
  </si>
  <si>
    <t>2140524051</t>
  </si>
  <si>
    <t>Propojení MKDS MP s P ČR Rumburk</t>
  </si>
  <si>
    <t>Město Rumburk</t>
  </si>
  <si>
    <t>2140524052</t>
  </si>
  <si>
    <t>Rozšíření MKDS a vybudování podružného monitorovacího pracoviště na služebně OO PČR v Broumově</t>
  </si>
  <si>
    <t>Město Broumov</t>
  </si>
  <si>
    <t>2140524053</t>
  </si>
  <si>
    <t>Horolezecká stěna</t>
  </si>
  <si>
    <t>Město Havlíčkův Brod</t>
  </si>
  <si>
    <t>2140524054</t>
  </si>
  <si>
    <t>Město Turnov</t>
  </si>
  <si>
    <t>2140524055</t>
  </si>
  <si>
    <t>II. etapa Městského kamerového systému</t>
  </si>
  <si>
    <t>Město Nymburk</t>
  </si>
  <si>
    <t>2140524056</t>
  </si>
  <si>
    <t>Obec Janov nad Nisou</t>
  </si>
  <si>
    <t>2140524057</t>
  </si>
  <si>
    <t>Obec Bedřichov</t>
  </si>
  <si>
    <t>2140524058</t>
  </si>
  <si>
    <t>Dětská horolezecká stěna</t>
  </si>
  <si>
    <t>Město Mělník</t>
  </si>
  <si>
    <t>2140524059</t>
  </si>
  <si>
    <t>Bezpečná zóna - II. etapa - Skatepark</t>
  </si>
  <si>
    <t>Město Veselí nad Moravou</t>
  </si>
  <si>
    <t>2140524060</t>
  </si>
  <si>
    <t>Propojení Městského kamerového dohlížecího systému Města Jeseníku s Policií České republiky</t>
  </si>
  <si>
    <t>Město Jeseník</t>
  </si>
  <si>
    <t>2140524061</t>
  </si>
  <si>
    <t>Skatepark 2004</t>
  </si>
  <si>
    <t>Statutární město Zlín</t>
  </si>
  <si>
    <t>2140524062</t>
  </si>
  <si>
    <t>2140524063</t>
  </si>
  <si>
    <t>Romské komunitní centrum Lačo jilo - Dobré srdce</t>
  </si>
  <si>
    <t>Město Přerov</t>
  </si>
  <si>
    <t>2140524064</t>
  </si>
  <si>
    <t>Propojení MKDS s PČR a rozšíření MKDS IV. etapa</t>
  </si>
  <si>
    <t>Město Uherský Brod</t>
  </si>
  <si>
    <t>2140524065</t>
  </si>
  <si>
    <t>Měřicí zařízení</t>
  </si>
  <si>
    <t>Město Strážnice</t>
  </si>
  <si>
    <t>2140524066</t>
  </si>
  <si>
    <t>Monitorovací kamerový systém ve Městě Jablunkov</t>
  </si>
  <si>
    <t>Město Jablunkov</t>
  </si>
  <si>
    <t>2140524067</t>
  </si>
  <si>
    <t>Stop zlodějům - mobilní kamerový systém</t>
  </si>
  <si>
    <t>Město Šternberk</t>
  </si>
  <si>
    <t>2140524068</t>
  </si>
  <si>
    <t>Město Sušice</t>
  </si>
  <si>
    <t>2140524069</t>
  </si>
  <si>
    <t>Mobilní radarové zařízení VIASIS 3000 s přídavným optickým světlem</t>
  </si>
  <si>
    <t>2140524070</t>
  </si>
  <si>
    <t>Multiplexer - druhá fáze propojení MKMS a OŘ PČR</t>
  </si>
  <si>
    <t>2140524071</t>
  </si>
  <si>
    <t>Městský kamerový systém - I. etapa</t>
  </si>
  <si>
    <t>Město Hlučín</t>
  </si>
  <si>
    <t>2140524072</t>
  </si>
  <si>
    <t>Obecní kamerový dohlížecí systém</t>
  </si>
  <si>
    <t>Obec Průhonice</t>
  </si>
  <si>
    <t>2140524073</t>
  </si>
  <si>
    <t>Dalovice - víceúčelové hřiště skateboard</t>
  </si>
  <si>
    <t>Obec Dalovice</t>
  </si>
  <si>
    <t>2140524074</t>
  </si>
  <si>
    <t>Aktivní ovládání MKDS na Policii ČR</t>
  </si>
  <si>
    <t>Město Hranice</t>
  </si>
  <si>
    <t>2140524075</t>
  </si>
  <si>
    <t>Bezpečnost v dopravě</t>
  </si>
  <si>
    <t>Město Orlová</t>
  </si>
  <si>
    <t>2140524076</t>
  </si>
  <si>
    <t>Propojení kamerového systému s PČR a rozšíření stávajícího systému</t>
  </si>
  <si>
    <t>2140524077</t>
  </si>
  <si>
    <t>Městský kamerový dohlížecí systém (MKDS)</t>
  </si>
  <si>
    <t>Město Jindřichův Hradec</t>
  </si>
  <si>
    <t>2140524078</t>
  </si>
  <si>
    <t>Instalace optického přenosu kamer MKDS + V. etapa MKDS</t>
  </si>
  <si>
    <t>Město Prostějov</t>
  </si>
  <si>
    <t>2140524079</t>
  </si>
  <si>
    <t>Preventivní radarový systém</t>
  </si>
  <si>
    <t>2140524080</t>
  </si>
  <si>
    <t>Zbudování páteřní intranetové sítě</t>
  </si>
  <si>
    <t>Město Chrudim</t>
  </si>
  <si>
    <t>2140524081</t>
  </si>
  <si>
    <t>Městský kamerový monitorovací systém</t>
  </si>
  <si>
    <t>Město Moravská Třebová</t>
  </si>
  <si>
    <t>2140524082</t>
  </si>
  <si>
    <t>Mobilní kamerový monitorovací systém</t>
  </si>
  <si>
    <t>Město Trutnov</t>
  </si>
  <si>
    <t>2140524083</t>
  </si>
  <si>
    <t>Městský kamerový dohlížecí systém - I. etapa</t>
  </si>
  <si>
    <t>Město Zruč nad Sázavou</t>
  </si>
  <si>
    <t>2140524084</t>
  </si>
  <si>
    <t>Mobilní kamera</t>
  </si>
  <si>
    <t>Město Poděbrady</t>
  </si>
  <si>
    <t>2140524085</t>
  </si>
  <si>
    <t>Skateboard - veřejný plácek - IV. etapa</t>
  </si>
  <si>
    <t>Město Varnsdorf</t>
  </si>
  <si>
    <t>2140524086</t>
  </si>
  <si>
    <t>Monitorovací kamerový systém - 5. etapa</t>
  </si>
  <si>
    <t>Město Hodonín</t>
  </si>
  <si>
    <t>2140524087</t>
  </si>
  <si>
    <t>Radarové měření  rychlosti</t>
  </si>
  <si>
    <t>Obec Bezno</t>
  </si>
  <si>
    <t>2140524088</t>
  </si>
  <si>
    <t>Město Šumperk</t>
  </si>
  <si>
    <t>2140524089</t>
  </si>
  <si>
    <t>Propojení MKDS z MP na PČR</t>
  </si>
  <si>
    <t>Město Třebíč</t>
  </si>
  <si>
    <t>2140524090</t>
  </si>
  <si>
    <t>Informační radarový měřič rychlosti</t>
  </si>
  <si>
    <t>2140524091</t>
  </si>
  <si>
    <t xml:space="preserve"> Radar pro měření rychlosti</t>
  </si>
  <si>
    <t>Město Frenštát pod Radhoštěm</t>
  </si>
  <si>
    <t>2140524092</t>
  </si>
  <si>
    <t>Rozšíření MKDS o kamerový bod</t>
  </si>
  <si>
    <t>2140524093</t>
  </si>
  <si>
    <t>Integrace monitorovacího centra MŘ PČR s ostatními CCTV</t>
  </si>
  <si>
    <t>Statutární město Brno</t>
  </si>
  <si>
    <t>2140524094</t>
  </si>
  <si>
    <t>Víceúčelové hřiště /skateboard, inline, streetball/</t>
  </si>
  <si>
    <t>Obec Křemže</t>
  </si>
  <si>
    <t>2140524096</t>
  </si>
  <si>
    <t>Vybavení tělocvičny - horolezecká stěna</t>
  </si>
  <si>
    <t>Město Košťany</t>
  </si>
  <si>
    <t>2140524097</t>
  </si>
  <si>
    <t>Program partnerství 2004 MĆ Brno - Nový Lískovec, výstavba a provoz KMS</t>
  </si>
  <si>
    <t>Statutární město Brno,  Městská část Brno - Nový Lískovec</t>
  </si>
  <si>
    <t>Celkem z 214052</t>
  </si>
  <si>
    <t>Celkem z 214050</t>
  </si>
  <si>
    <t>2141110031</t>
  </si>
  <si>
    <t>BOZ - CZ000701  Odposlech a záznam telekomunikačního provozu</t>
  </si>
  <si>
    <t>2141110036</t>
  </si>
  <si>
    <t>PKO - CZ020703 Odposlech internetu</t>
  </si>
  <si>
    <t>2141110037</t>
  </si>
  <si>
    <t>Systém centralizované ochrany</t>
  </si>
  <si>
    <t>2141110049</t>
  </si>
  <si>
    <t>Informační systém pracoviště krycích dokladů</t>
  </si>
  <si>
    <t>2141110050</t>
  </si>
  <si>
    <t>KOH - CZ020701 AKV - mobilní verze</t>
  </si>
  <si>
    <t>2141110051</t>
  </si>
  <si>
    <t>KOH - CZ020701 AKV - podpůrné prostředky I.</t>
  </si>
  <si>
    <t>2141114001</t>
  </si>
  <si>
    <t>P ČR Správa hl. města Prahy</t>
  </si>
  <si>
    <t>2141114002</t>
  </si>
  <si>
    <t xml:space="preserve">Výpočetní technika a prvky  ICT </t>
  </si>
  <si>
    <t xml:space="preserve">Osobní počítače </t>
  </si>
  <si>
    <t>Server</t>
  </si>
  <si>
    <t>2141114006</t>
  </si>
  <si>
    <t>Dataprojektor multimediální</t>
  </si>
  <si>
    <t>P ČR Správa Západočeského kraje</t>
  </si>
  <si>
    <t>2141114007</t>
  </si>
  <si>
    <t>Notebooky</t>
  </si>
  <si>
    <t>2141114008</t>
  </si>
  <si>
    <t>Scanner A3</t>
  </si>
  <si>
    <t>2141114009</t>
  </si>
  <si>
    <t>Rozšíření a obnova datových sítí</t>
  </si>
  <si>
    <t>2141114010</t>
  </si>
  <si>
    <t>P ČR Správa Severočeského kraje</t>
  </si>
  <si>
    <t>2141114012</t>
  </si>
  <si>
    <t>Tiskárna laserová barevná</t>
  </si>
  <si>
    <t>Servery</t>
  </si>
  <si>
    <t>2141114014</t>
  </si>
  <si>
    <t>Projektor</t>
  </si>
  <si>
    <t>2141114015</t>
  </si>
  <si>
    <t>Zálohovací a archivační zařízení</t>
  </si>
  <si>
    <t>2141114017</t>
  </si>
  <si>
    <t>P ČR Správa Severomoravského kraje</t>
  </si>
  <si>
    <t>2141114018</t>
  </si>
  <si>
    <t>PC sestavy speciální</t>
  </si>
  <si>
    <t>2141114019</t>
  </si>
  <si>
    <t>PC sestavy</t>
  </si>
  <si>
    <t>2141114020</t>
  </si>
  <si>
    <t>Tiskárny</t>
  </si>
  <si>
    <t>2141114021</t>
  </si>
  <si>
    <t>Scannery A3</t>
  </si>
  <si>
    <t>2141114022</t>
  </si>
  <si>
    <t>2141114023</t>
  </si>
  <si>
    <t>2141114024</t>
  </si>
  <si>
    <t>2141114025</t>
  </si>
  <si>
    <t>Software</t>
  </si>
  <si>
    <t>2141114027</t>
  </si>
  <si>
    <t>BOZ-PC sestavy</t>
  </si>
  <si>
    <t>2141114028</t>
  </si>
  <si>
    <t>BOZ-Notebooky</t>
  </si>
  <si>
    <t>BOZ-Software</t>
  </si>
  <si>
    <t>2141114030</t>
  </si>
  <si>
    <t>Integrovaný systém ochrany movitého kulturního dědictví</t>
  </si>
  <si>
    <t>2141114031</t>
  </si>
  <si>
    <t>2141114032</t>
  </si>
  <si>
    <t>Měřící zařízení</t>
  </si>
  <si>
    <t>2141114033</t>
  </si>
  <si>
    <t>Telefonní ústředny digitální</t>
  </si>
  <si>
    <t>Telefonní ústředna</t>
  </si>
  <si>
    <t>2141114035</t>
  </si>
  <si>
    <t>Switche</t>
  </si>
  <si>
    <t>2141114037</t>
  </si>
  <si>
    <t>2141114038</t>
  </si>
  <si>
    <t>Catalyst 6000 - optický modul</t>
  </si>
  <si>
    <t>2141114039</t>
  </si>
  <si>
    <t>Vanguard</t>
  </si>
  <si>
    <t>2141114040</t>
  </si>
  <si>
    <t>2141114041</t>
  </si>
  <si>
    <t>Pobočková ústředna</t>
  </si>
  <si>
    <t>Zařízení k rozšíření a obnově počítačových sítí</t>
  </si>
  <si>
    <t xml:space="preserve">Telefonní ústředny </t>
  </si>
  <si>
    <t>2141114045</t>
  </si>
  <si>
    <t>Faxové přístroje</t>
  </si>
  <si>
    <t>Výpočetní a telekomunikační technika</t>
  </si>
  <si>
    <t>P ČR Správa Východočeského kraje</t>
  </si>
  <si>
    <t>2141114052</t>
  </si>
  <si>
    <t>Ethernet přepínače (switch)</t>
  </si>
  <si>
    <t>2141114053</t>
  </si>
  <si>
    <t>Telefonní ústředna digitální</t>
  </si>
  <si>
    <t>2141114055</t>
  </si>
  <si>
    <t>2141114056</t>
  </si>
  <si>
    <t>Vanquard</t>
  </si>
  <si>
    <t>2141114058</t>
  </si>
  <si>
    <t>ICT pro Finanční policii</t>
  </si>
  <si>
    <t>2141114059</t>
  </si>
  <si>
    <t>SW vybavení pro Finanční policii</t>
  </si>
  <si>
    <t>2141114060</t>
  </si>
  <si>
    <t>Systém DISPEČER pro operační středisko</t>
  </si>
  <si>
    <t>2141114061</t>
  </si>
  <si>
    <t>UPS</t>
  </si>
  <si>
    <t>2141114062</t>
  </si>
  <si>
    <t>2141114063</t>
  </si>
  <si>
    <t>Tiskárny a UPS</t>
  </si>
  <si>
    <t>2141114064</t>
  </si>
  <si>
    <t>Projektory</t>
  </si>
  <si>
    <t>2141114065</t>
  </si>
  <si>
    <t>Ústředna telefonní</t>
  </si>
  <si>
    <t>2141114066</t>
  </si>
  <si>
    <t>2141114067</t>
  </si>
  <si>
    <t>2141114068</t>
  </si>
  <si>
    <t>Počítače</t>
  </si>
  <si>
    <t>2141114069</t>
  </si>
  <si>
    <t>2141114070</t>
  </si>
  <si>
    <t>Kamera digitální</t>
  </si>
  <si>
    <t>2141114072</t>
  </si>
  <si>
    <t>Tiskárna čárového kódu</t>
  </si>
  <si>
    <t>2141114073</t>
  </si>
  <si>
    <t>Aktualizace CDI</t>
  </si>
  <si>
    <t>2141114074</t>
  </si>
  <si>
    <t>Videorekordéry timelapsy</t>
  </si>
  <si>
    <t>2141114076</t>
  </si>
  <si>
    <t>Multifunkční zařízení</t>
  </si>
  <si>
    <t>2141114077</t>
  </si>
  <si>
    <t>Tiskárny jehličkové</t>
  </si>
  <si>
    <t>2141114078</t>
  </si>
  <si>
    <t>PC PSION</t>
  </si>
  <si>
    <t>2141114080</t>
  </si>
  <si>
    <t>Systém kamerový do vozidel</t>
  </si>
  <si>
    <t>2141114081</t>
  </si>
  <si>
    <t>Videokamery</t>
  </si>
  <si>
    <t>2141114082</t>
  </si>
  <si>
    <t>Videorekordéry</t>
  </si>
  <si>
    <t>2141114083</t>
  </si>
  <si>
    <t>Střihové pracoviště</t>
  </si>
  <si>
    <t>2141114084</t>
  </si>
  <si>
    <t>Systém informační BDL</t>
  </si>
  <si>
    <t>2141114085</t>
  </si>
  <si>
    <t>Automat. kontrola vozidel - mobilní verze</t>
  </si>
  <si>
    <t>2141114086</t>
  </si>
  <si>
    <t>Audiovizuální technika</t>
  </si>
  <si>
    <t>2141114087</t>
  </si>
  <si>
    <t>2141114088</t>
  </si>
  <si>
    <t>UTS - Server - EKV</t>
  </si>
  <si>
    <t>2141114089</t>
  </si>
  <si>
    <t>Datový projektor a zpětný projektor - SPOLEČNÝ SVĚT</t>
  </si>
  <si>
    <t>2141114090</t>
  </si>
  <si>
    <t>Systém průmyslové televize</t>
  </si>
  <si>
    <t>2141114091</t>
  </si>
  <si>
    <t>Tiskárna pro tisk etiket s čárkovým kódem</t>
  </si>
  <si>
    <t>2141114092</t>
  </si>
  <si>
    <t>SW AUTOEVIDENCE</t>
  </si>
  <si>
    <t>2141114093</t>
  </si>
  <si>
    <t>Multimediální stěna</t>
  </si>
  <si>
    <t>2141114094</t>
  </si>
  <si>
    <t>BOZ - CZ000701 Zálohovací komponenty</t>
  </si>
  <si>
    <t>2141114095</t>
  </si>
  <si>
    <t>BOZ - CZ010707 Notebooky</t>
  </si>
  <si>
    <t>2141114096</t>
  </si>
  <si>
    <t>PKO - CZ010706 SW a zálohovací zařízení</t>
  </si>
  <si>
    <t>2141114097</t>
  </si>
  <si>
    <t>BOZ - CZ010707 Výpočetní technika</t>
  </si>
  <si>
    <t>2141114098</t>
  </si>
  <si>
    <t>FIPO - Výpočetní technika</t>
  </si>
  <si>
    <t>2141114099</t>
  </si>
  <si>
    <t>FIPO - SOFTWARE</t>
  </si>
  <si>
    <t>2141114100</t>
  </si>
  <si>
    <t>2141114101</t>
  </si>
  <si>
    <t>Zařízení k rozšíření a obnově datových sítí</t>
  </si>
  <si>
    <t>2141114102</t>
  </si>
  <si>
    <t>BOZ - Software</t>
  </si>
  <si>
    <t>2141114103</t>
  </si>
  <si>
    <t>2141114104</t>
  </si>
  <si>
    <t>Servery a software</t>
  </si>
  <si>
    <t>2141114105</t>
  </si>
  <si>
    <t>Server a software</t>
  </si>
  <si>
    <t>2141114106</t>
  </si>
  <si>
    <t>2141114107</t>
  </si>
  <si>
    <t>2141114108</t>
  </si>
  <si>
    <t>2141114109</t>
  </si>
  <si>
    <t>2141114110</t>
  </si>
  <si>
    <t>Servery a zálohovací zařízení</t>
  </si>
  <si>
    <t>2141114111</t>
  </si>
  <si>
    <t>Telefonní ústředna Alcatel</t>
  </si>
  <si>
    <t>2141114112</t>
  </si>
  <si>
    <t>Grafické stanice</t>
  </si>
  <si>
    <t>2141114113</t>
  </si>
  <si>
    <t>2141114114</t>
  </si>
  <si>
    <t>2141114115</t>
  </si>
  <si>
    <t>Osobní počítače + SW</t>
  </si>
  <si>
    <t>2141114116</t>
  </si>
  <si>
    <t>Servery OŘ/MŘ</t>
  </si>
  <si>
    <t>2141114117</t>
  </si>
  <si>
    <t>2141114118</t>
  </si>
  <si>
    <t>Tiskárna čárového kódu s příslušenstvím</t>
  </si>
  <si>
    <t>2141114119</t>
  </si>
  <si>
    <t>Upgrade serverů KSU</t>
  </si>
  <si>
    <t>2141114120</t>
  </si>
  <si>
    <t>Software a MicroStation V8</t>
  </si>
  <si>
    <t>2141114121</t>
  </si>
  <si>
    <t>KOH - Vyvolávací systém</t>
  </si>
  <si>
    <t>Celkem z 214111</t>
  </si>
  <si>
    <t>2141120010</t>
  </si>
  <si>
    <t>Dobrotice psinec - odpadní hospodářství</t>
  </si>
  <si>
    <t>2141120013</t>
  </si>
  <si>
    <t>Praha 5 Zbraslav areál - příjezdová komunikace a parkoviště</t>
  </si>
  <si>
    <t>2141120014</t>
  </si>
  <si>
    <t>Praha 6 Pelleova 19 - posílení elektrorozvodů</t>
  </si>
  <si>
    <t>2141120015</t>
  </si>
  <si>
    <t>Praha 5, Nádražní 16 - rekonstrukce soc. zařízení</t>
  </si>
  <si>
    <t>2141120022</t>
  </si>
  <si>
    <t>MVP-CZ000702 Praha 3, Olšanská 2 - rekonstrukce elektrorozvodů "A"</t>
  </si>
  <si>
    <t>2141120030</t>
  </si>
  <si>
    <t>Praha 9, Bohušovická 485/10 - výkup pozemku</t>
  </si>
  <si>
    <t>2141120034</t>
  </si>
  <si>
    <t>Tuchoměřice, služební kynologie - výstavba nové administrativní budovy</t>
  </si>
  <si>
    <t>2141120035</t>
  </si>
  <si>
    <t>Praha 1, Benediktská 1 - výstavba šaten a soc. zařízení v přízemí a suterénu</t>
  </si>
  <si>
    <t>2141120036</t>
  </si>
  <si>
    <t>Praha 1, Na Perštýně 346 - napojení z centrální kotelny, rozvody ÚT</t>
  </si>
  <si>
    <t>2141120037</t>
  </si>
  <si>
    <t>Praha 8 Ďáblická PMJ - odkanalizování areálu + zp.plochy</t>
  </si>
  <si>
    <t>2141120043</t>
  </si>
  <si>
    <t>Slaný Kyjevská - kasárny II. etapa</t>
  </si>
  <si>
    <t>2141120044</t>
  </si>
  <si>
    <t>OŘ PČR Příbram - rekonstrukce objektu 28,30</t>
  </si>
  <si>
    <t>2141120050</t>
  </si>
  <si>
    <t>OO PČR Třeboň - rekonstrukce získaného objektu</t>
  </si>
  <si>
    <t>2141120051</t>
  </si>
  <si>
    <t>OŘ PČR Č.Budějovice - rekonstrukce objektu OKPV Plavská</t>
  </si>
  <si>
    <t>2141120054</t>
  </si>
  <si>
    <t>OO PČR Zvíkovské Podhradí - rekonstrukce objektu</t>
  </si>
  <si>
    <t>2141120060</t>
  </si>
  <si>
    <t>OŘ PČR Cheb - výstavba nového objektu a rekonstrukce stáv.objektu</t>
  </si>
  <si>
    <t>2141120062</t>
  </si>
  <si>
    <t>OOP Horní Slavkov - nová výstavba</t>
  </si>
  <si>
    <t>2141120063</t>
  </si>
  <si>
    <t>OŘ PČR Karlovy Vary - mycí box a ČOV</t>
  </si>
  <si>
    <t>2141120064</t>
  </si>
  <si>
    <t>OŘ PČR AO Sokolov - rekonstrukce</t>
  </si>
  <si>
    <t>2141120065</t>
  </si>
  <si>
    <t>OŘ PČR Cheb - mycí box a ČOV</t>
  </si>
  <si>
    <t>2141120068</t>
  </si>
  <si>
    <t>Plzeň Bory - střelnice - I.etapa</t>
  </si>
  <si>
    <t>2141120069</t>
  </si>
  <si>
    <t>OO PČR Holýšov - garáže + úprava dvora</t>
  </si>
  <si>
    <t>2141120070</t>
  </si>
  <si>
    <t>OŘ PČR Klatovy - mycí box + ČOV</t>
  </si>
  <si>
    <t xml:space="preserve">Ústí nad Labem, Masarykova 27,29 -odkanalizování objektu </t>
  </si>
  <si>
    <t xml:space="preserve">Ústí nad Labem, Masarykova 47 - odkanalizování objektu </t>
  </si>
  <si>
    <t>2141120083</t>
  </si>
  <si>
    <t>Litoměřice psinec - rekonstrukce + výstavba kotců</t>
  </si>
  <si>
    <t>2141120086</t>
  </si>
  <si>
    <t>OO PČR Železný Brod - rekonstrukce objektu</t>
  </si>
  <si>
    <t>2141120089</t>
  </si>
  <si>
    <t>KOH-CZ020701 Moldava PP - rekonstrukce objektu</t>
  </si>
  <si>
    <t>2141120090</t>
  </si>
  <si>
    <t>OO PČR Dobruška - rekonstrukce</t>
  </si>
  <si>
    <t>2141120091</t>
  </si>
  <si>
    <t>PČR S Včk Hradec Králové, Kladská - plynofikace a zateplení objektu</t>
  </si>
  <si>
    <t>2141120092</t>
  </si>
  <si>
    <t>Bohuslavice sklady - plynofikace, zateplení</t>
  </si>
  <si>
    <t>2141120094</t>
  </si>
  <si>
    <t>OO PČR Úpice - rekonstrukce objektu a napojení na horkovod</t>
  </si>
  <si>
    <t>2141120098</t>
  </si>
  <si>
    <t>Brno, Rybářská ul.- rekonstrukce objektu pro OŘP Brno-venkov</t>
  </si>
  <si>
    <t>2141120099</t>
  </si>
  <si>
    <t>OO PČR Telč - nová výstavba</t>
  </si>
  <si>
    <t>2141120100</t>
  </si>
  <si>
    <t>Prostějov, ul.Újezd - výkup objektu pro potřeby OŘP</t>
  </si>
  <si>
    <t>2141120107</t>
  </si>
  <si>
    <t>OŘ PČR Třebíč - rekonstrukce elektroinstalace, strukturovaná kabeláž</t>
  </si>
  <si>
    <t>2141120108</t>
  </si>
  <si>
    <t>OŘ PČR Zlín - výstavba čerpací stanice PHM</t>
  </si>
  <si>
    <t>2141120109</t>
  </si>
  <si>
    <t>OŘ PČR Hodonín - oplocení areálu, vybudování EZS</t>
  </si>
  <si>
    <t>2141120110</t>
  </si>
  <si>
    <t>OO PČR Jemnice - vybudování EZS</t>
  </si>
  <si>
    <t>2141120111</t>
  </si>
  <si>
    <t>OO PČR Hrotovice  - vybudování EZS</t>
  </si>
  <si>
    <t>2141120112</t>
  </si>
  <si>
    <t>OO PČR Náměšť nad Oslavou - vybudování EZS</t>
  </si>
  <si>
    <t>2141120113</t>
  </si>
  <si>
    <t>OO PČR Okříšky - vybudování EZS</t>
  </si>
  <si>
    <t>2141120116</t>
  </si>
  <si>
    <t>OŘ PČR  a OO PČR Přerov - nová výstavba</t>
  </si>
  <si>
    <t>2141120117</t>
  </si>
  <si>
    <t>OO PČR Rožnov pod Radhoštěm - rekonstrukce</t>
  </si>
  <si>
    <t>2141120118</t>
  </si>
  <si>
    <t>OŘ PČR Šumperk - technická ošetřovna vozidel</t>
  </si>
  <si>
    <t>2141120123</t>
  </si>
  <si>
    <t>ŠPO Červený Hrádek, Dýšiná č.p.1475/39 - výstavba stožáru</t>
  </si>
  <si>
    <t>2141120125</t>
  </si>
  <si>
    <t>KOH-CZ020701 bezpečnostně technické prostředky</t>
  </si>
  <si>
    <t>2141120126</t>
  </si>
  <si>
    <t>FKSP- ÚZ Kounov - modernizace sportovišť</t>
  </si>
  <si>
    <t>PČR Správa Východočeského kraje</t>
  </si>
  <si>
    <t>2141120134</t>
  </si>
  <si>
    <t>OO PČR Roztoky u Křivoklátu - opěrná zeď</t>
  </si>
  <si>
    <t>2141120140</t>
  </si>
  <si>
    <t>OŘ PČR Trutnov - rekonstrukce objektu ÚVS</t>
  </si>
  <si>
    <t>2141120141</t>
  </si>
  <si>
    <t>KOH-CZ020701 Hradec Králové, letiště Věkoše 416- rekonstrukce ubytovny</t>
  </si>
  <si>
    <t>2141120145</t>
  </si>
  <si>
    <t>FKSP- rekreační zařízení Čeladná - rekonstrukce</t>
  </si>
  <si>
    <t>PČR Správa Severomoravského kraje</t>
  </si>
  <si>
    <t>2141120149</t>
  </si>
  <si>
    <t>Klecany kasárna - PD na 1.etapu komplexní rekonstrukce</t>
  </si>
  <si>
    <t>2141120150</t>
  </si>
  <si>
    <t>Praha 8, Křižíkova OŘP Pha-V - plynová kotelna</t>
  </si>
  <si>
    <t>2141120153</t>
  </si>
  <si>
    <t>OŘ PČR Klatovy - přestavba objektu bývalého OkÚ</t>
  </si>
  <si>
    <t>2141120154</t>
  </si>
  <si>
    <t>OŘ PČR Rokycany - přestavba objektu</t>
  </si>
  <si>
    <t>2141120156</t>
  </si>
  <si>
    <t>OO PČR Třebíč, Bráfova - slaboproudé rozvody a zabezpečení objektů</t>
  </si>
  <si>
    <t>2141120164</t>
  </si>
  <si>
    <t>KOH- CZ020701 - bezpečnostní technické prostředky</t>
  </si>
  <si>
    <t>2141120165</t>
  </si>
  <si>
    <t>OŘ PČR Jáchymov -výkup pozemku</t>
  </si>
  <si>
    <t>2141120166</t>
  </si>
  <si>
    <t>MŘ DI Plzeň - výkup pozemku</t>
  </si>
  <si>
    <t>2141120168</t>
  </si>
  <si>
    <t>KOH- CZ020701 bezpečnostní technické prostředky</t>
  </si>
  <si>
    <t>2141120174</t>
  </si>
  <si>
    <t>OOP Vizovice - přístavba šaten</t>
  </si>
  <si>
    <t>2141120175</t>
  </si>
  <si>
    <t>OOP Dubňany - rekonstrukce objektu</t>
  </si>
  <si>
    <t>2141120176</t>
  </si>
  <si>
    <t>OOP Boskovice - rekonstrukce objektu</t>
  </si>
  <si>
    <t>2141120179</t>
  </si>
  <si>
    <t>OCPP Nové Hamry - výkup plynové přípojky</t>
  </si>
  <si>
    <t>2141120180</t>
  </si>
  <si>
    <t>Organizační schéma kapitoly 314 - Ministerstva vnitra s vyjádřením kompetenčního uspořádání mezi</t>
  </si>
  <si>
    <t xml:space="preserve"> MINISTERSTVO</t>
  </si>
  <si>
    <t xml:space="preserve"> VNITRA  ČR</t>
  </si>
  <si>
    <t>ORGANIZAČNÍ</t>
  </si>
  <si>
    <t>1/</t>
  </si>
  <si>
    <t>ORGANIZAČNÍ SLOŽKY</t>
  </si>
  <si>
    <t>OSTATNÍ ORGANIZAČNÍ</t>
  </si>
  <si>
    <t>STÁTNÍ</t>
  </si>
  <si>
    <t>SLOŽKA STÁTU  MV</t>
  </si>
  <si>
    <t>STÁTU - ARCHIVY</t>
  </si>
  <si>
    <t>STÁTU - HZS krajů</t>
  </si>
  <si>
    <t xml:space="preserve"> SLOŽKY STÁTU</t>
  </si>
  <si>
    <t>PŘÍSPĚVKOVÉ  ORGANIZACE</t>
  </si>
  <si>
    <t xml:space="preserve">Jednotlivá územní pracoviště OSS MV
</t>
  </si>
  <si>
    <t>2/</t>
  </si>
  <si>
    <t>S</t>
  </si>
  <si>
    <t>Odbor ekonom. zabezpečení pro MV
Odbor sportu MV</t>
  </si>
  <si>
    <t xml:space="preserve"> Praha hl.m.</t>
  </si>
  <si>
    <t>Ústřední orgán státní správy</t>
  </si>
  <si>
    <t>SPŠ MV  PRAHA</t>
  </si>
  <si>
    <t>T</t>
  </si>
  <si>
    <t>Složky MV - OEZ pro MV (Redakce)</t>
  </si>
  <si>
    <t>Státní oblastní archiv
v Praze</t>
  </si>
  <si>
    <t>Středočeský kraj</t>
  </si>
  <si>
    <t>SPŠ  MV BRNO</t>
  </si>
  <si>
    <t>Á</t>
  </si>
  <si>
    <t>Státní oblastní archiv
v Třeboni</t>
  </si>
  <si>
    <t>Jihočeský kraj</t>
  </si>
  <si>
    <t>Generální ředitelství HZS  ČR</t>
  </si>
  <si>
    <t>SPŠ MV  HOLEŠOV</t>
  </si>
  <si>
    <t>Státní oblastní archiv
v Plzni</t>
  </si>
  <si>
    <t>Plzeňský kraj</t>
  </si>
  <si>
    <t>Složky MV - GŔ HZS</t>
  </si>
  <si>
    <t>SPŠ  MV JIHLAVA</t>
  </si>
  <si>
    <t>N</t>
  </si>
  <si>
    <t>Státní oblastní archiv
v Litoměřicích</t>
  </si>
  <si>
    <t>Karlovarský kraj</t>
  </si>
  <si>
    <t>SPŠ MV PARDUBICE</t>
  </si>
  <si>
    <t>Í</t>
  </si>
  <si>
    <t>HS  PP ČR</t>
  </si>
  <si>
    <t>Státní oblastní archiv
v Zámrsku</t>
  </si>
  <si>
    <t>Ústecký kraj</t>
  </si>
  <si>
    <t>SPŠ MV RUZYNĚ</t>
  </si>
  <si>
    <t>P ČR Správa hl.m. Prahy</t>
  </si>
  <si>
    <t>Moravský zemský archiv
v Brně</t>
  </si>
  <si>
    <t>Liberecký kraj</t>
  </si>
  <si>
    <t>POLICEJNÍ AKADEMIE ČR</t>
  </si>
  <si>
    <t>ZAŘÍZENÍ SLUŽEB  pro MV</t>
  </si>
  <si>
    <t>3/</t>
  </si>
  <si>
    <t>P ČR Správa Středočeského kraje</t>
  </si>
  <si>
    <t>L</t>
  </si>
  <si>
    <t>Zemský archiv v Opavě</t>
  </si>
  <si>
    <t>Královéhradecký kraj</t>
  </si>
  <si>
    <t>O</t>
  </si>
  <si>
    <t>SOŠ a VOŠ PO MV Frýdek-Místek</t>
  </si>
  <si>
    <t>LÁZEŇSKÉ LÉČEBNÉ ÚSTAVY  MV</t>
  </si>
  <si>
    <t>4/</t>
  </si>
  <si>
    <t>P</t>
  </si>
  <si>
    <t>P ČR Správa Jihočeského kraje</t>
  </si>
  <si>
    <t>Ž</t>
  </si>
  <si>
    <t>Pardubický kraj</t>
  </si>
  <si>
    <t>K</t>
  </si>
  <si>
    <t>MUZEUM  Policie ČR</t>
  </si>
  <si>
    <t>BYTOVÁ SPRÁVA  MV</t>
  </si>
  <si>
    <t>R</t>
  </si>
  <si>
    <t xml:space="preserve">P ČR Správa  Západočeského kraje </t>
  </si>
  <si>
    <t>Y</t>
  </si>
  <si>
    <t>kraj Vysočina</t>
  </si>
  <si>
    <t>SPRÁVA UPRCH. ZAŘÍZENÍ MV</t>
  </si>
  <si>
    <t>TISKÁRNA   MV</t>
  </si>
  <si>
    <t xml:space="preserve">P ČR Správa Severočeského kraje </t>
  </si>
  <si>
    <t>Jihomoravský kraj</t>
  </si>
  <si>
    <t xml:space="preserve">INSTITUT pro MS Praha  </t>
  </si>
  <si>
    <t>V</t>
  </si>
  <si>
    <t xml:space="preserve">P ČR Správa Východočeského kraje </t>
  </si>
  <si>
    <t>Zlínský kraj</t>
  </si>
  <si>
    <t>I</t>
  </si>
  <si>
    <t>A</t>
  </si>
  <si>
    <t>P ČR Správa Jihomoravského kraje</t>
  </si>
  <si>
    <t>C</t>
  </si>
  <si>
    <t>Olomoucký kraj</t>
  </si>
  <si>
    <t xml:space="preserve">P ČR Správa Severomoravského kraje </t>
  </si>
  <si>
    <t>E</t>
  </si>
  <si>
    <t>Moravskoslezský kraj</t>
  </si>
  <si>
    <t>ORCN Svojšice</t>
  </si>
  <si>
    <t>Poznámka:</t>
  </si>
  <si>
    <r>
      <t>1/</t>
    </r>
    <r>
      <rPr>
        <sz val="10"/>
        <rFont val="Arial CE"/>
        <family val="2"/>
      </rPr>
      <t xml:space="preserve">  Hospodaří jako organizační složka státu MV</t>
    </r>
  </si>
  <si>
    <r>
      <t xml:space="preserve">3/ </t>
    </r>
    <r>
      <rPr>
        <sz val="10"/>
        <rFont val="Arial CE"/>
        <family val="2"/>
      </rPr>
      <t>Příspěvková organizace odměňující své zaměstnance dle z. č. 143/1992 Sb.</t>
    </r>
  </si>
  <si>
    <r>
      <t xml:space="preserve">2/ </t>
    </r>
    <r>
      <rPr>
        <sz val="10"/>
        <rFont val="Arial CE"/>
        <family val="2"/>
      </rPr>
      <t xml:space="preserve"> Územní pracoviště  OSS MV </t>
    </r>
  </si>
  <si>
    <r>
      <t xml:space="preserve">4/ </t>
    </r>
    <r>
      <rPr>
        <sz val="10"/>
        <rFont val="Arial CE"/>
        <family val="2"/>
      </rPr>
      <t>Příspěvková organizace odměňující své zaměstnance dle z. č. 1/1992 Sb.</t>
    </r>
  </si>
  <si>
    <t>správcem kapitoly a jím zřízenými OSS a příspěvkovými organizacemi</t>
  </si>
  <si>
    <t>Výdaje za oblast policejního školství v roce 2004 bez převodu do rezervního fondu</t>
  </si>
  <si>
    <t>v tis. Kč</t>
  </si>
  <si>
    <t>Sociální dávky celkem</t>
  </si>
  <si>
    <t>Mzdové prostředky</t>
  </si>
  <si>
    <t>FKSP</t>
  </si>
  <si>
    <t>Ostatní běžné výdaje</t>
  </si>
  <si>
    <t>Výdaje na financování programů</t>
  </si>
  <si>
    <t>Výzkum a vývoj</t>
  </si>
  <si>
    <t>VÝDAJE  CELKEM</t>
  </si>
  <si>
    <t>OSS</t>
  </si>
  <si>
    <t>R1</t>
  </si>
  <si>
    <t>R2</t>
  </si>
  <si>
    <t>čerpání</t>
  </si>
  <si>
    <t>SPŠ MV Praha</t>
  </si>
  <si>
    <t>SPŠ MV Brno</t>
  </si>
  <si>
    <t>SPŠ MV Holešov</t>
  </si>
  <si>
    <t>SPŠ MV Jihlava</t>
  </si>
  <si>
    <t>SPŠ MV Pardubice</t>
  </si>
  <si>
    <t>SPŠ MV Ruzyně</t>
  </si>
  <si>
    <t>Policejní akademie ČR</t>
  </si>
  <si>
    <t>Policejní školství celkem</t>
  </si>
  <si>
    <t>Kontroloval: Ing. Hudera, tel. 974 849 802</t>
  </si>
  <si>
    <t>Převod prostředků do rezervního fondu v roce 2004 (dle § 47 zákona o rozpočtových pravidlech)</t>
  </si>
  <si>
    <t>v Kč</t>
  </si>
  <si>
    <t>platy+OPPP            +povinné poj.</t>
  </si>
  <si>
    <t xml:space="preserve">z toho: </t>
  </si>
  <si>
    <t>běžné výdaje</t>
  </si>
  <si>
    <t xml:space="preserve"> z toho : FKSP</t>
  </si>
  <si>
    <t>transfery krajům</t>
  </si>
  <si>
    <t>dotace OS</t>
  </si>
  <si>
    <t>neinv.dotace</t>
  </si>
  <si>
    <t xml:space="preserve">důchody </t>
  </si>
  <si>
    <t>ostatní dávky</t>
  </si>
  <si>
    <t>nemocenská</t>
  </si>
  <si>
    <t xml:space="preserve">Běžné výdaje  </t>
  </si>
  <si>
    <t>NIV vázané k IP</t>
  </si>
  <si>
    <t>NIV PO k IP- 9822</t>
  </si>
  <si>
    <t>indiv.pos. výdaje</t>
  </si>
  <si>
    <t>syst. urč. výdaje</t>
  </si>
  <si>
    <t>syst.dotace SPO</t>
  </si>
  <si>
    <t xml:space="preserve">Čs.spoř.a.s. </t>
  </si>
  <si>
    <t>z toho:</t>
  </si>
  <si>
    <t>Výdaje na fin.programů</t>
  </si>
  <si>
    <t>výzkum a vývoj</t>
  </si>
  <si>
    <t>v+v kapitálový</t>
  </si>
  <si>
    <t>CELKEM</t>
  </si>
  <si>
    <t>účet 4028</t>
  </si>
  <si>
    <t>platy přísl.</t>
  </si>
  <si>
    <t>platy občanů</t>
  </si>
  <si>
    <t>OPPP</t>
  </si>
  <si>
    <t>povinnné poj.</t>
  </si>
  <si>
    <t>účet 000</t>
  </si>
  <si>
    <t>účet 5805</t>
  </si>
  <si>
    <t>účet 2823</t>
  </si>
  <si>
    <t>účet 5821</t>
  </si>
  <si>
    <t>účet 2022</t>
  </si>
  <si>
    <t>účet 3025</t>
  </si>
  <si>
    <t>účet 027</t>
  </si>
  <si>
    <t>bez NIV váz. k IP celkem</t>
  </si>
  <si>
    <t>účet 5020</t>
  </si>
  <si>
    <t>účet 908</t>
  </si>
  <si>
    <t>účet 916</t>
  </si>
  <si>
    <t>účet  5936</t>
  </si>
  <si>
    <t>systémové</t>
  </si>
  <si>
    <t>individuální</t>
  </si>
  <si>
    <t>reprod. majetku celkem</t>
  </si>
  <si>
    <t>účet 43</t>
  </si>
  <si>
    <t>Policie ČR</t>
  </si>
  <si>
    <t>AXB</t>
  </si>
  <si>
    <t>OEZ pro MV</t>
  </si>
  <si>
    <t>Odbor sportu MV</t>
  </si>
  <si>
    <t>GŘ HZS</t>
  </si>
  <si>
    <t>mezisoučet OSS MV</t>
  </si>
  <si>
    <t>SÚA v Praze</t>
  </si>
  <si>
    <t>SOA v Praze</t>
  </si>
  <si>
    <t>SOA v Třeboni</t>
  </si>
  <si>
    <t>SOA v Plzni</t>
  </si>
  <si>
    <t>SOA v Litoměřicích</t>
  </si>
  <si>
    <t>SOA v Zámrsku</t>
  </si>
  <si>
    <t>MZA v Brně</t>
  </si>
  <si>
    <t>archivy celkem</t>
  </si>
  <si>
    <t>SPŠ MV  Praha</t>
  </si>
  <si>
    <t>SPŠ MV  Brno</t>
  </si>
  <si>
    <t>SPŠ MV  Pardubice</t>
  </si>
  <si>
    <t>stř. policejní školství</t>
  </si>
  <si>
    <t>polic. školství celkem</t>
  </si>
  <si>
    <t>SOŠ a VOŠ PO F.-M.</t>
  </si>
  <si>
    <t>rezortní školství celkem</t>
  </si>
  <si>
    <t xml:space="preserve">HZS krajů </t>
  </si>
  <si>
    <t>SUZ MV</t>
  </si>
  <si>
    <t>Muzeum PČR</t>
  </si>
  <si>
    <t>ostatní OSS MV</t>
  </si>
  <si>
    <t>Celkem MV</t>
  </si>
  <si>
    <t>Převod prostředků do rezervního fondu v roce 2004 (dle § 47 zákona o rozpočtových pravidlech) - detail HZS krajů</t>
  </si>
  <si>
    <t>HZS krajů celkem</t>
  </si>
  <si>
    <t>Praha</t>
  </si>
  <si>
    <t>Středočeský</t>
  </si>
  <si>
    <t>Jihočeský</t>
  </si>
  <si>
    <t>Plzeńský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</si>
  <si>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</si>
  <si>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</si>
  <si>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</si>
  <si>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</si>
  <si>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</si>
  <si>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</si>
  <si>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</si>
  <si>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Zlínský</t>
  </si>
  <si>
    <t>Olomoucký</t>
  </si>
  <si>
    <t>Moravskoslezský</t>
  </si>
  <si>
    <t>Kč</t>
  </si>
  <si>
    <t>v+v =</t>
  </si>
  <si>
    <t>R o z p o č e t</t>
  </si>
  <si>
    <t xml:space="preserve">    Čerpání </t>
  </si>
  <si>
    <t>z toho</t>
  </si>
  <si>
    <t>celkem</t>
  </si>
  <si>
    <t>I. čtvrtletí</t>
  </si>
  <si>
    <t>II. čtvrtletí</t>
  </si>
  <si>
    <t>III. čtvrtletí</t>
  </si>
  <si>
    <t>IV. čtvrtletí</t>
  </si>
  <si>
    <t xml:space="preserve">plnění </t>
  </si>
  <si>
    <t xml:space="preserve">% </t>
  </si>
  <si>
    <t>%</t>
  </si>
  <si>
    <t>v %</t>
  </si>
  <si>
    <t xml:space="preserve">OEZ pro MV </t>
  </si>
  <si>
    <t>ms OSS MV</t>
  </si>
  <si>
    <t>ZA v Opavě</t>
  </si>
  <si>
    <t xml:space="preserve">ms archivy </t>
  </si>
  <si>
    <t>SPŠ MV  Jihlava</t>
  </si>
  <si>
    <t>ms střední policejní školství</t>
  </si>
  <si>
    <t>ms policejní školství celkem</t>
  </si>
  <si>
    <t>SOŠ a VOŠ PO MV F.M.</t>
  </si>
  <si>
    <t>ms resortní školství celkem</t>
  </si>
  <si>
    <t xml:space="preserve">HZS krajů celkem </t>
  </si>
  <si>
    <t>ms ostatní OSS MV</t>
  </si>
  <si>
    <t>ms OSS kapitoly MV celkem</t>
  </si>
  <si>
    <t>Zařízení služeb MV</t>
  </si>
  <si>
    <t>IMS MV</t>
  </si>
  <si>
    <t>LLÚ MV</t>
  </si>
  <si>
    <t>Tiskárna MV</t>
  </si>
  <si>
    <t>Bytová správa MV</t>
  </si>
  <si>
    <t>ms SPO</t>
  </si>
  <si>
    <t>ROZPIS CELKEM</t>
  </si>
  <si>
    <t>rezerva</t>
  </si>
  <si>
    <t>Legenda:</t>
  </si>
  <si>
    <t>R1 - schválený rozpočet</t>
  </si>
  <si>
    <t>R2 - upravený rozpočet (bez mimorozpočtových zdrojů)</t>
  </si>
  <si>
    <t>% - čerpání po čtvrtletích k celkovému čerpání</t>
  </si>
  <si>
    <t>Výdaje na financování programů reprodukce majetku = neinvestiční výdaje vázané k investičním programům a investiční výdaje</t>
  </si>
  <si>
    <t>Čerpání</t>
  </si>
  <si>
    <t>Státní ústřední archiv Praha</t>
  </si>
  <si>
    <t>Státní oblastní archiv Praha</t>
  </si>
  <si>
    <t>Státní oblastní archiv Třeboň</t>
  </si>
  <si>
    <t>Státní oblastní archiv Plzeň</t>
  </si>
  <si>
    <t>Státní oblastní archiv Litoměřice</t>
  </si>
  <si>
    <t>Státní oblastní archiv Zámrsk</t>
  </si>
  <si>
    <t>Moravský zemský archiv Brno</t>
  </si>
  <si>
    <t>Zemský archiv Opava</t>
  </si>
  <si>
    <t xml:space="preserve">Výdaje na výzkum a vývoj = ostatní platby za provedenou práci, ostatní běžné výdaje a kapitálové výdaje </t>
  </si>
  <si>
    <t xml:space="preserve">GŘ HZS </t>
  </si>
  <si>
    <t xml:space="preserve">     </t>
  </si>
  <si>
    <t>Běžné výdaje</t>
  </si>
  <si>
    <t>Výdaje na financ.progr.repr.majetku</t>
  </si>
  <si>
    <t>Výdaje na výzkum a vývoj</t>
  </si>
  <si>
    <t xml:space="preserve">KAPITOLA CELKEM </t>
  </si>
  <si>
    <t>Přehled čerpání ostatních běžných výdajů  (vybrané běžné výdaje) - Adresné platby v roce  2004</t>
  </si>
  <si>
    <t>Název adresné platby</t>
  </si>
  <si>
    <t xml:space="preserve">Schválený rozpočet            (R1)                </t>
  </si>
  <si>
    <t xml:space="preserve">Upravený rozpočet          (R2)                   </t>
  </si>
  <si>
    <t xml:space="preserve">Možnost překročení o mimoroz-počtové zdroje dle zák. č. 218/2000 Sb.  </t>
  </si>
  <si>
    <t>Čerpání v roce 2004                             (bez převodu do rezerv. fondu v roce 2004)</t>
  </si>
  <si>
    <t>Převedeno       do rezevního fondu v roce 2004</t>
  </si>
  <si>
    <t>Čerpání v roce 2004      celkem                               (vč. převodu do rezerv. fondu v roce 2004) (sl.5+6)</t>
  </si>
  <si>
    <t>Porovnání čerpání v roce 2004 ve vztahu k R2</t>
  </si>
  <si>
    <t xml:space="preserve">Porovnání čerpání v roce 2004 ve vztahu k celk. možnosti čerpání </t>
  </si>
  <si>
    <t xml:space="preserve">Čerpání v roce           2003               </t>
  </si>
  <si>
    <t>bez přev. do rez. fondu v roce 2004 (sl. 5-2)</t>
  </si>
  <si>
    <t>vč.přev.do rez.fondu v roce 2004 (sl.7-2)</t>
  </si>
  <si>
    <t>bez přev.do rez.fondu v roce 2004 (sl. 5-4)</t>
  </si>
  <si>
    <t>vč. přev.do rez.fondu v roce 2004 (sl.7-4)</t>
  </si>
  <si>
    <t xml:space="preserve">Obchodní zboží:    </t>
  </si>
  <si>
    <t xml:space="preserve">z toho: pro službu cizinecké a pohran. policie </t>
  </si>
  <si>
    <t xml:space="preserve">            pro dopravní službu</t>
  </si>
  <si>
    <t xml:space="preserve">            pro správní službu</t>
  </si>
  <si>
    <t>Naturální výstroj policistů</t>
  </si>
  <si>
    <t>Oděvné policistů</t>
  </si>
  <si>
    <t>Střelivo</t>
  </si>
  <si>
    <t>Zbraně</t>
  </si>
  <si>
    <t>Servisní podpora databázového centra PČR</t>
  </si>
  <si>
    <t>Nástrahová a zabezpečovací technika</t>
  </si>
  <si>
    <t>Letecký materiál LS PČR</t>
  </si>
  <si>
    <t>PHM pro leteckou techniku LS PČR</t>
  </si>
  <si>
    <t>Oprava letecké techniky LS PČR</t>
  </si>
  <si>
    <t>Odborná příprava leteckého personálu LS PČR</t>
  </si>
  <si>
    <t>Centr.personifikace stroj.čitelných dokladů</t>
  </si>
  <si>
    <t>Centrální opravárenství pro spojovací a výpočetní techniku</t>
  </si>
  <si>
    <t>Opravy a údržba kabelové sítě v Praze</t>
  </si>
  <si>
    <t>SW licence</t>
  </si>
  <si>
    <t>Oprava a údržba systému AFIS</t>
  </si>
  <si>
    <t>Provoz informačního systému celostátních správních evidencí</t>
  </si>
  <si>
    <t>Nájemné za telekomunikační vedení</t>
  </si>
  <si>
    <t>Výkony spojů</t>
  </si>
  <si>
    <t>Kmitočtové spektrum</t>
  </si>
  <si>
    <t>Ekonomický informační systém EKIS</t>
  </si>
  <si>
    <t>Služby pošt</t>
  </si>
  <si>
    <t>Náklady na odvody pro ČS</t>
  </si>
  <si>
    <t>Humánní a vet.očkov.látky, imunopr. a léčiva</t>
  </si>
  <si>
    <t>Ověřování a zavádění movitého majetku</t>
  </si>
  <si>
    <t>Zvlášť významné výdaje</t>
  </si>
  <si>
    <t>z toho: kriminalistická technika</t>
  </si>
  <si>
    <t xml:space="preserve">            vybavení ochrannými prostředky</t>
  </si>
  <si>
    <t>Celkem</t>
  </si>
  <si>
    <t>Poznámka: V roce 2003 byly v rámci adresných plateb realizovány výdaje i u dalších plateb "Prevence kriminality" ( 3 234,77 tis. Kč) a "Opravárenská základna" ( 3 777,37 tis. Kč), tyto platby byly v adresné části OBV v roce 2004 zrušeny resp. převedeny do OBV-neadresná část.</t>
  </si>
  <si>
    <t>Útvar</t>
  </si>
  <si>
    <t xml:space="preserve">     Obchodní zboží</t>
  </si>
  <si>
    <t>Praha 6 - Ruzyně, hangár "D" - výměna přívodního napájecího kabelu NN</t>
  </si>
  <si>
    <t>2141124134</t>
  </si>
  <si>
    <t>Praha 3, Olšanská 2 - vybudování náhradního zdroje elektrické energie</t>
  </si>
  <si>
    <t>2141124135</t>
  </si>
  <si>
    <t>UTS - Praha 3, Olšanská 4 - EKV, montáž turniketů</t>
  </si>
  <si>
    <t>2141125018</t>
  </si>
  <si>
    <t>RŠZ Dlouhé Rzy - rozšíření vlastních zdrojů pitné vody</t>
  </si>
  <si>
    <t>2141125021</t>
  </si>
  <si>
    <t>RF OŘ PČR Mělník - zprovoznění objektu - IPV</t>
  </si>
  <si>
    <t>PČR Správa Středočeského kraje</t>
  </si>
  <si>
    <t>OŘ PČR Mělník - zprovoznění objektu - IPV</t>
  </si>
  <si>
    <t>214112R001</t>
  </si>
  <si>
    <t>KOH - Rezerva na financování programu v letech 2004-2006</t>
  </si>
  <si>
    <t>P ČR</t>
  </si>
  <si>
    <t>Celkem z 214112</t>
  </si>
  <si>
    <t>2141130013</t>
  </si>
  <si>
    <t>Ženijní majetek</t>
  </si>
  <si>
    <t>2141130070</t>
  </si>
  <si>
    <t>MVP - CZ000702 Centrální archivní evidence pobytu cizinců na území ČR</t>
  </si>
  <si>
    <t>2141130082</t>
  </si>
  <si>
    <t>PKO - CZ020703 Stroje kopírovací digitální</t>
  </si>
  <si>
    <t>2141130083</t>
  </si>
  <si>
    <t>BOZ - CZ010707 Stroje  kopírovací</t>
  </si>
  <si>
    <t>2141130096</t>
  </si>
  <si>
    <t>SIS - CZ020702 Multifunkční přístroj</t>
  </si>
  <si>
    <t>2141130108</t>
  </si>
  <si>
    <t>Videospektrální komparátory</t>
  </si>
  <si>
    <t>2141130167</t>
  </si>
  <si>
    <t>Výzbrojní majetek pro ÚRN PČR</t>
  </si>
  <si>
    <t>2141130173</t>
  </si>
  <si>
    <t>KOH - CZ020701 AKV - podpůrné prostředky II.</t>
  </si>
  <si>
    <t>2141134001</t>
  </si>
  <si>
    <t>KOH-Osobní automobily silniční do 1500 ccm - policejní verze</t>
  </si>
  <si>
    <t>2141134002</t>
  </si>
  <si>
    <t>Osobní automobily silniční do 1500 ccm - standardní</t>
  </si>
  <si>
    <t>2141134003</t>
  </si>
  <si>
    <t>Osobní automobily silniční do 1500 ccm - combi</t>
  </si>
  <si>
    <t>2141134004</t>
  </si>
  <si>
    <t>Osobní automobily silniční do 1500 ccm - policejní verze</t>
  </si>
  <si>
    <t>2141134005</t>
  </si>
  <si>
    <t>Osobní automobily silniční do 1600 ccm</t>
  </si>
  <si>
    <t>2141134006</t>
  </si>
  <si>
    <t>Osobní automobily silniční do 2000 ccm</t>
  </si>
  <si>
    <t>2141134007</t>
  </si>
  <si>
    <t>Osobní automobily terénní do 2500 ccm</t>
  </si>
  <si>
    <t>Osobní automobily užitkové</t>
  </si>
  <si>
    <t>2141134009</t>
  </si>
  <si>
    <t>Mikrobusy</t>
  </si>
  <si>
    <t xml:space="preserve">Nákladní automobily skříňové </t>
  </si>
  <si>
    <t>2141134011</t>
  </si>
  <si>
    <t>Autobusy do 30 osob</t>
  </si>
  <si>
    <t xml:space="preserve">Obrněná vozidla </t>
  </si>
  <si>
    <t>Výstražná zvuková a světelná zařízení (VRZ)</t>
  </si>
  <si>
    <t>Radary</t>
  </si>
  <si>
    <t xml:space="preserve">Váhy pro vážení kamiónů </t>
  </si>
  <si>
    <t>2141134016</t>
  </si>
  <si>
    <t>Odstřelovací pušky</t>
  </si>
  <si>
    <t>2141134017</t>
  </si>
  <si>
    <t>Samopaly</t>
  </si>
  <si>
    <t>2141134018</t>
  </si>
  <si>
    <t>Noktovizory</t>
  </si>
  <si>
    <t>2141134019</t>
  </si>
  <si>
    <t>Přestavba motorových člunů</t>
  </si>
  <si>
    <t>Potápěčské obleky</t>
  </si>
  <si>
    <t>2141134021</t>
  </si>
  <si>
    <t>Čluny pro celoroční provoz a pracovní</t>
  </si>
  <si>
    <t>2141134022</t>
  </si>
  <si>
    <t>Garáž plovoucí</t>
  </si>
  <si>
    <t>2141134023</t>
  </si>
  <si>
    <t>Rentgeny včetně příslušenství</t>
  </si>
  <si>
    <t xml:space="preserve">Stetoskop </t>
  </si>
  <si>
    <t xml:space="preserve">Pyrotechnické nářadí </t>
  </si>
  <si>
    <t xml:space="preserve">Kontejnery proti výbušninám </t>
  </si>
  <si>
    <t>2141134027</t>
  </si>
  <si>
    <t>Zařízení pro demontáž pneu OA</t>
  </si>
  <si>
    <t>2141134028</t>
  </si>
  <si>
    <t>Zvedák dvousloupový elektromechanický 3,5t</t>
  </si>
  <si>
    <t>2141134029</t>
  </si>
  <si>
    <t>Zvedák dvousloupový elektromechanický 2,7 t</t>
  </si>
  <si>
    <t>2141134030</t>
  </si>
  <si>
    <t>Váha nápravových tlaků - rekonstrukce</t>
  </si>
  <si>
    <t>2141134031</t>
  </si>
  <si>
    <t>Autodílenský materiál</t>
  </si>
  <si>
    <t>2141134032</t>
  </si>
  <si>
    <t>Servisní přípravky Škoda</t>
  </si>
  <si>
    <t>2141134033</t>
  </si>
  <si>
    <t>Soupravy nářadí automechanika</t>
  </si>
  <si>
    <t>2141134034</t>
  </si>
  <si>
    <t>Stroje montážní a demontážní pneumatik</t>
  </si>
  <si>
    <t>2141134035</t>
  </si>
  <si>
    <t>Zvedáky dvousloupové 2,5 t</t>
  </si>
  <si>
    <t>2141134036</t>
  </si>
  <si>
    <t>Váha nápravových tlaků</t>
  </si>
  <si>
    <t>2141134037</t>
  </si>
  <si>
    <t>Přípravné pracoviště ke stříkacímu boxu</t>
  </si>
  <si>
    <t>2141134038</t>
  </si>
  <si>
    <t>2141134039</t>
  </si>
  <si>
    <t>Dílenské strojní zařízení</t>
  </si>
  <si>
    <t xml:space="preserve">Váha nápravových tlaků silniční  </t>
  </si>
  <si>
    <t>2141134041</t>
  </si>
  <si>
    <t>Diagnostické zařízení</t>
  </si>
  <si>
    <t>2141134042</t>
  </si>
  <si>
    <t>Mycí zařízení s ohřevem WAP</t>
  </si>
  <si>
    <t>2141134043</t>
  </si>
  <si>
    <t>Odsávačky zplodin</t>
  </si>
  <si>
    <t>2141134044</t>
  </si>
  <si>
    <t>Zařízení na demontáž pneu OA</t>
  </si>
  <si>
    <t>2141134045</t>
  </si>
  <si>
    <t>2141134046</t>
  </si>
  <si>
    <t>Zvedák pneuservis ZP2</t>
  </si>
  <si>
    <t>2141134047</t>
  </si>
  <si>
    <t>Rovnací rám CELETE</t>
  </si>
  <si>
    <t>2141134048</t>
  </si>
  <si>
    <t>Zařízení pro měření geometrie OA</t>
  </si>
  <si>
    <t>2141134049</t>
  </si>
  <si>
    <t>2141134050</t>
  </si>
  <si>
    <t>2141134051</t>
  </si>
  <si>
    <t>Zvedák čtyřsloupový na geometrii 3,5 t</t>
  </si>
  <si>
    <t>2141134052</t>
  </si>
  <si>
    <t>Štíty balistické</t>
  </si>
  <si>
    <t>2141134053</t>
  </si>
  <si>
    <t>Přikrývky protistřepinové</t>
  </si>
  <si>
    <t>Lana slaňovací</t>
  </si>
  <si>
    <t>2141134055</t>
  </si>
  <si>
    <t>Zařízení pro bezkontaktní měření střel</t>
  </si>
  <si>
    <t>2141134056</t>
  </si>
  <si>
    <t>Endoskop</t>
  </si>
  <si>
    <t>2141134057</t>
  </si>
  <si>
    <t>Příslušenství k mikroskopům</t>
  </si>
  <si>
    <t>2141134058</t>
  </si>
  <si>
    <t>Komparační mikroskop</t>
  </si>
  <si>
    <t>2141134059</t>
  </si>
  <si>
    <t>Vyvolávací automaty</t>
  </si>
  <si>
    <t>2141134060</t>
  </si>
  <si>
    <t>Chromatografy plynové</t>
  </si>
  <si>
    <t>Souprava dokumentace místa událostí</t>
  </si>
  <si>
    <t xml:space="preserve">Spektrofotometr </t>
  </si>
  <si>
    <t xml:space="preserve">Záblesková ateliérová zařízení </t>
  </si>
  <si>
    <t>2141134064</t>
  </si>
  <si>
    <t>Zabezpečovací technika</t>
  </si>
  <si>
    <t>2141134065</t>
  </si>
  <si>
    <t>Speciální technika</t>
  </si>
  <si>
    <t>2141134066</t>
  </si>
  <si>
    <t>MVP-Odborná školení pro SCPP</t>
  </si>
  <si>
    <t xml:space="preserve">Videokamery </t>
  </si>
  <si>
    <t xml:space="preserve">Videorekordéry  </t>
  </si>
  <si>
    <t xml:space="preserve">Štíty balistické - provedení "taška"   </t>
  </si>
  <si>
    <t>2141134070</t>
  </si>
  <si>
    <t>Analyzátor akumulátorů</t>
  </si>
  <si>
    <t>2141134071</t>
  </si>
  <si>
    <t>Osciloskop digitální</t>
  </si>
  <si>
    <t>2141134072</t>
  </si>
  <si>
    <t>CZ030503 Osobní automobily silniční</t>
  </si>
  <si>
    <t>2141134073</t>
  </si>
  <si>
    <t>CZ030504 Osobní automobil terénní</t>
  </si>
  <si>
    <t>2141134074</t>
  </si>
  <si>
    <t>2141134075</t>
  </si>
  <si>
    <t>DAR-Kopírka velkokapacitní</t>
  </si>
  <si>
    <t>2141134076</t>
  </si>
  <si>
    <t>Služební dopravní prostředky pro Finanční policii</t>
  </si>
  <si>
    <t>2141134077</t>
  </si>
  <si>
    <t>Stroje kopírovací pro Finanční policii</t>
  </si>
  <si>
    <t>2141134078</t>
  </si>
  <si>
    <t>KOH-Automobily nákladní skříňové - eskortní</t>
  </si>
  <si>
    <t>2141134079</t>
  </si>
  <si>
    <t>Autobus nad 30 osob</t>
  </si>
  <si>
    <t>2141134080</t>
  </si>
  <si>
    <t>Přívěsy pro přepravu psů</t>
  </si>
  <si>
    <t>2141134081</t>
  </si>
  <si>
    <t>Automobil nákladní skříňový do 12 t - speciální</t>
  </si>
  <si>
    <t>2141134082</t>
  </si>
  <si>
    <t>Automobil nákladní skříňový do 5 t - velitelský</t>
  </si>
  <si>
    <t>2141134083</t>
  </si>
  <si>
    <t>Automobil nákladní skříňový - přepravník koní</t>
  </si>
  <si>
    <t>2141134084</t>
  </si>
  <si>
    <t>Automobily nákladní užitkové</t>
  </si>
  <si>
    <t>2141134085</t>
  </si>
  <si>
    <t>Automobily nákladní skříňové do 12 t stěhovací</t>
  </si>
  <si>
    <t>2141134086</t>
  </si>
  <si>
    <t>Automobily nákladní skříňové do 3,5 t</t>
  </si>
  <si>
    <t>2141134087</t>
  </si>
  <si>
    <t>Motocykly policejní</t>
  </si>
  <si>
    <t>2141134088</t>
  </si>
  <si>
    <t>Automobily osobní sanitní</t>
  </si>
  <si>
    <t>2141134089</t>
  </si>
  <si>
    <t>Automobily osobní - mikrobusy II</t>
  </si>
  <si>
    <t>2141134090</t>
  </si>
  <si>
    <t>Automobil osobní silniční nad 2500 ccm</t>
  </si>
  <si>
    <t>2141134091</t>
  </si>
  <si>
    <t>Automobily  osobní silniční do 2500 ccm</t>
  </si>
  <si>
    <t>2141134092</t>
  </si>
  <si>
    <t>Stroj kopírovací digitální barevný</t>
  </si>
  <si>
    <t>2141134093</t>
  </si>
  <si>
    <t>Zařízení pro ohřev přilby</t>
  </si>
  <si>
    <t>2141134094</t>
  </si>
  <si>
    <t>Obleky potápěčské suché</t>
  </si>
  <si>
    <t>2141134095</t>
  </si>
  <si>
    <t>Plnírna HELIOX - TRIMIX</t>
  </si>
  <si>
    <t>2141134096</t>
  </si>
  <si>
    <t>Box stříkací</t>
  </si>
  <si>
    <t>2141134098</t>
  </si>
  <si>
    <t>Zařízení pro vyvažování kol</t>
  </si>
  <si>
    <t>2141134099</t>
  </si>
  <si>
    <t>Objektiv</t>
  </si>
  <si>
    <t>2141134100</t>
  </si>
  <si>
    <t>2141134101</t>
  </si>
  <si>
    <t>Kotle varné</t>
  </si>
  <si>
    <t>2141134102</t>
  </si>
  <si>
    <t>Mlýnek laboratorní</t>
  </si>
  <si>
    <t>2141134103</t>
  </si>
  <si>
    <t>Stroje kopírovací</t>
  </si>
  <si>
    <t>2141134104</t>
  </si>
  <si>
    <t>Kompresory vysokotlaké</t>
  </si>
  <si>
    <t>2141134105</t>
  </si>
  <si>
    <t>Dynatech - Ultra wosch včetně kompresoru</t>
  </si>
  <si>
    <t>2141134106</t>
  </si>
  <si>
    <t>EKG</t>
  </si>
  <si>
    <t>2141134107</t>
  </si>
  <si>
    <t>Ergometr</t>
  </si>
  <si>
    <t>2141134108</t>
  </si>
  <si>
    <t>Stroje kopírovací multifunkční</t>
  </si>
  <si>
    <t>2141134109</t>
  </si>
  <si>
    <t>Čistička ultrazvuková</t>
  </si>
  <si>
    <t>2141134110</t>
  </si>
  <si>
    <t>Stroj mycí podlahový</t>
  </si>
  <si>
    <t>2141134111</t>
  </si>
  <si>
    <t>Stroj tiskařský</t>
  </si>
  <si>
    <t>2141134112</t>
  </si>
  <si>
    <t>Měřiče alkoholu v dechu</t>
  </si>
  <si>
    <t>2141134113</t>
  </si>
  <si>
    <t>Stroje kopírovací digitální</t>
  </si>
  <si>
    <t>2141134114</t>
  </si>
  <si>
    <t>2141134115</t>
  </si>
  <si>
    <t>Vitrína chladicí</t>
  </si>
  <si>
    <t>2141134116</t>
  </si>
  <si>
    <t>2141134117</t>
  </si>
  <si>
    <t>RTG</t>
  </si>
  <si>
    <t>2141134118</t>
  </si>
  <si>
    <t>2141134119</t>
  </si>
  <si>
    <t>RTG přenosný</t>
  </si>
  <si>
    <t>2141134120</t>
  </si>
  <si>
    <t>2141134121</t>
  </si>
  <si>
    <t>2141134122</t>
  </si>
  <si>
    <t>Fibroskop technický</t>
  </si>
  <si>
    <t>2141134123</t>
  </si>
  <si>
    <t>Mikroskopy stereoskopické</t>
  </si>
  <si>
    <t>2141134125</t>
  </si>
  <si>
    <t>Doplnění systému LUCIA</t>
  </si>
  <si>
    <t>2141134126</t>
  </si>
  <si>
    <t>Dálkové ovládání k RTG</t>
  </si>
  <si>
    <t>2141134128</t>
  </si>
  <si>
    <t>Vesty neprůstřelné těžké</t>
  </si>
  <si>
    <t>2141134129</t>
  </si>
  <si>
    <t>Detektor kovů pro potápěče</t>
  </si>
  <si>
    <t>2141134130</t>
  </si>
  <si>
    <t>Stroje kopírovací digitální  pro Finanční policii</t>
  </si>
  <si>
    <t>2141134131</t>
  </si>
  <si>
    <t>FKSP-STEPPER</t>
  </si>
  <si>
    <t>2141134132</t>
  </si>
  <si>
    <t>Pracovní člun se závěsným motorem a podvalníkem</t>
  </si>
  <si>
    <t>2141134133</t>
  </si>
  <si>
    <t>Radary - rekonstrukce</t>
  </si>
  <si>
    <t>2141134134</t>
  </si>
  <si>
    <t>FKSP-Sportovní vybavení</t>
  </si>
  <si>
    <t>2141134135</t>
  </si>
  <si>
    <t>Přenosný spektrometr</t>
  </si>
  <si>
    <t>2141134136</t>
  </si>
  <si>
    <t>Manipulátor teleskopický</t>
  </si>
  <si>
    <t>2141134138</t>
  </si>
  <si>
    <t>Lodní motor</t>
  </si>
  <si>
    <t>2141134139</t>
  </si>
  <si>
    <t>Dvousloupové zvedáky 2,5 t</t>
  </si>
  <si>
    <t>2141134140</t>
  </si>
  <si>
    <t>2141134141</t>
  </si>
  <si>
    <t>Oblek protiúderový na sebeobranu</t>
  </si>
  <si>
    <t>2141134143</t>
  </si>
  <si>
    <t>Oprava podvodního kamerového systému Titan Comando</t>
  </si>
  <si>
    <t>2141134144</t>
  </si>
  <si>
    <t>Zvedák dvousloupový 2,5 t</t>
  </si>
  <si>
    <t>2141134145</t>
  </si>
  <si>
    <t>Osobní automobily terénní nad 2500 ccm - pancéřované</t>
  </si>
  <si>
    <t>2141134146</t>
  </si>
  <si>
    <t>KOH - Osobní automobil silniční do 1500 ccm</t>
  </si>
  <si>
    <t>2141134147</t>
  </si>
  <si>
    <t>KŘ - Stroj kopírovací multifunkční</t>
  </si>
  <si>
    <t>2141134148</t>
  </si>
  <si>
    <t>PKO - CZ030503 Osobní automobil silniční do 2000 ccm</t>
  </si>
  <si>
    <t>2141134149</t>
  </si>
  <si>
    <t>Digitální fotopřístroje</t>
  </si>
  <si>
    <t>2141134150</t>
  </si>
  <si>
    <t>2141134151</t>
  </si>
  <si>
    <t>FKSP - Kuchyňské zařízení</t>
  </si>
  <si>
    <t>2141134152</t>
  </si>
  <si>
    <t>UTS - Kopírovací stroj barevný digitální</t>
  </si>
  <si>
    <t>2141134153</t>
  </si>
  <si>
    <t>FKSP - Malotraktor včetně příslušenství</t>
  </si>
  <si>
    <t>2141134154</t>
  </si>
  <si>
    <t>UTS - Úschovné objekty</t>
  </si>
  <si>
    <t>214113R001</t>
  </si>
  <si>
    <t>Rezerva na financování programu v letech 2004-2006</t>
  </si>
  <si>
    <t>Celkem z 214113</t>
  </si>
  <si>
    <t>2141144001</t>
  </si>
  <si>
    <t>Osobní automobily silniční nad 2500 ccm - reprezentativní</t>
  </si>
  <si>
    <t>2141144002</t>
  </si>
  <si>
    <t>Osobní automobily silniční nad 2500 ccm - doprovodné</t>
  </si>
  <si>
    <t>2141144004</t>
  </si>
  <si>
    <t>Automobil nákladní skříňový do 3,5 t - obytný</t>
  </si>
  <si>
    <t>Celkem z 214114</t>
  </si>
  <si>
    <t>2141150001</t>
  </si>
  <si>
    <t>Vrtulníky lehké hmotnostní kategorie pro zajištění leteckých činností v IZS</t>
  </si>
  <si>
    <t>2141150002</t>
  </si>
  <si>
    <t>Brno Tuřany - letecká základna</t>
  </si>
  <si>
    <t>Systém LEDIS</t>
  </si>
  <si>
    <t>2141154002</t>
  </si>
  <si>
    <t>Mikrobus</t>
  </si>
  <si>
    <t>2141154003</t>
  </si>
  <si>
    <t>Automobil osobní do 2000 ccm</t>
  </si>
  <si>
    <t>Celkem z 214115</t>
  </si>
  <si>
    <t>2141170001</t>
  </si>
  <si>
    <t>Sklad Kozolupy - plynofikace</t>
  </si>
  <si>
    <t>2141170003</t>
  </si>
  <si>
    <t>OO PČR Plesná - plynofikace</t>
  </si>
  <si>
    <t>2141170004</t>
  </si>
  <si>
    <t>OŘ PČR Cheb - autodílny - plynofikace</t>
  </si>
  <si>
    <t>2141170005</t>
  </si>
  <si>
    <t xml:space="preserve">     Střelivo</t>
  </si>
  <si>
    <t xml:space="preserve">     Zbraně</t>
  </si>
  <si>
    <t>Nástrah.a zab.technika</t>
  </si>
  <si>
    <t xml:space="preserve">     Letecký materiál</t>
  </si>
  <si>
    <t>PHM pro let. techniku</t>
  </si>
  <si>
    <t xml:space="preserve">     Opravy let.techniky</t>
  </si>
  <si>
    <t xml:space="preserve">     Odb.př.let.person.</t>
  </si>
  <si>
    <t>Centr.pers.str.čit.dokl.</t>
  </si>
  <si>
    <t>Centr.opr.sp.a výp.tech.</t>
  </si>
  <si>
    <t xml:space="preserve">     Oprav.a údr.kab.sítě</t>
  </si>
  <si>
    <t xml:space="preserve">     SW licence</t>
  </si>
  <si>
    <t xml:space="preserve">     Opravy a údr.AFIS</t>
  </si>
  <si>
    <t>Provoz inf.syst. CSE</t>
  </si>
  <si>
    <t xml:space="preserve">     Nájem.za telek.vedení</t>
  </si>
  <si>
    <t xml:space="preserve">     Kmitočtové spektrum</t>
  </si>
  <si>
    <t>Ekonom.inf.syst.EKIS</t>
  </si>
  <si>
    <t xml:space="preserve">     Služby pošt</t>
  </si>
  <si>
    <t xml:space="preserve">     Nákl.na odv.ČS</t>
  </si>
  <si>
    <t xml:space="preserve">    Hum.a veter.léky a vakcíny</t>
  </si>
  <si>
    <t xml:space="preserve">    Ověř.a zav.mov.maj.</t>
  </si>
  <si>
    <t xml:space="preserve">     Prevence krimin.</t>
  </si>
  <si>
    <t>Zvlášť význ.výdaje</t>
  </si>
  <si>
    <t>Adresné platby</t>
  </si>
  <si>
    <t>R 2</t>
  </si>
  <si>
    <t>R 1</t>
  </si>
  <si>
    <t>Policie ČR celkem</t>
  </si>
  <si>
    <t xml:space="preserve">     z toho OEZ MV</t>
  </si>
  <si>
    <t xml:space="preserve">     z toho OSI a OIVS,OIEP MV</t>
  </si>
  <si>
    <t>Mezisoučet MV</t>
  </si>
  <si>
    <t>OSS MV celkem</t>
  </si>
  <si>
    <t>Archivy celkem</t>
  </si>
  <si>
    <t>SPŠ MV Praha-Hrdlořezy</t>
  </si>
  <si>
    <t>SPŠ MV Praha-Ruzyně</t>
  </si>
  <si>
    <t>Střední policejní školství celkem</t>
  </si>
  <si>
    <t>Resortní školství celkem</t>
  </si>
  <si>
    <t>Muzeum Policie ČR</t>
  </si>
  <si>
    <t>OSS kapitoly MV celkem</t>
  </si>
  <si>
    <t>Kapitola MV celkem</t>
  </si>
  <si>
    <t xml:space="preserve">Přehled čerpání ostatních běžných výdajů  (vybrané běžné výdaje) - Platby související s provozem objektů v roce  2004 </t>
  </si>
  <si>
    <t>Položka</t>
  </si>
  <si>
    <t>řá-dek</t>
  </si>
  <si>
    <t xml:space="preserve">Schválený rozpočet            (R1)               </t>
  </si>
  <si>
    <t xml:space="preserve">Upravený rozpočet          (R2)              </t>
  </si>
  <si>
    <t xml:space="preserve">Celková možnost čerpání            (sl. 2+3)          </t>
  </si>
  <si>
    <t>Čerpání v roce 2004                                (bez převodu do rezerv. fondu v roce 2004)</t>
  </si>
  <si>
    <t>Čerpání v roce 2004      celkem                                (vč. převodu do rezerv. fondu v roce 2004 (sl.5+6)</t>
  </si>
  <si>
    <t>vč. přev.do rez.fondu v roce 2004 (sl. 7-4)</t>
  </si>
  <si>
    <t xml:space="preserve"> pevné palivo</t>
  </si>
  <si>
    <t xml:space="preserve"> LTO</t>
  </si>
  <si>
    <t xml:space="preserve"> elektrická energie</t>
  </si>
  <si>
    <t xml:space="preserve"> voda</t>
  </si>
  <si>
    <t xml:space="preserve"> teplo</t>
  </si>
  <si>
    <t xml:space="preserve"> plyn</t>
  </si>
  <si>
    <t xml:space="preserve"> nájemné za objekty</t>
  </si>
  <si>
    <t xml:space="preserve"> opravy a udržování objektů</t>
  </si>
  <si>
    <t>Pevné palivo</t>
  </si>
  <si>
    <t>Lehké topné oleje</t>
  </si>
  <si>
    <t>Elektrická energie</t>
  </si>
  <si>
    <t>Voda</t>
  </si>
  <si>
    <t>Teplo</t>
  </si>
  <si>
    <t>Plyn</t>
  </si>
  <si>
    <t>Nájemné za objekty</t>
  </si>
  <si>
    <t>Opravy a udržování objektů</t>
  </si>
  <si>
    <t>Rozpočet</t>
  </si>
  <si>
    <t xml:space="preserve">Plnění </t>
  </si>
  <si>
    <t>Název organizace</t>
  </si>
  <si>
    <t xml:space="preserve">Čerpání </t>
  </si>
  <si>
    <t>organizace celkem</t>
  </si>
  <si>
    <t>organizace</t>
  </si>
  <si>
    <t>P ČR S hl. m. Prahy</t>
  </si>
  <si>
    <t>P ČR S Středočeského kraje</t>
  </si>
  <si>
    <t>P ČR S Jihočeského kraje</t>
  </si>
  <si>
    <t>P ČR S Západočeského kraje</t>
  </si>
  <si>
    <t>P ČR S Severočeského kraje</t>
  </si>
  <si>
    <t>P ČR S Východočeského kraje</t>
  </si>
  <si>
    <t>P ČR S Severomoravského kraje</t>
  </si>
  <si>
    <t>P ČR S Jihomoravského kraje</t>
  </si>
  <si>
    <t>Hospodářská správa PP ČR</t>
  </si>
  <si>
    <t>SaV ŠPO MV Frýdek-Místek</t>
  </si>
  <si>
    <t>Rezortní školství celkem</t>
  </si>
  <si>
    <t>HZS-Kraj Praha</t>
  </si>
  <si>
    <t>HZS-Kraj Středočeský</t>
  </si>
  <si>
    <t>HZS-Kraj Jihočeský</t>
  </si>
  <si>
    <t>HZS-Kraj Plzeňský</t>
  </si>
  <si>
    <t>HZS-Kraj Karlovarský</t>
  </si>
  <si>
    <t>HZS-Kraj Ústecký</t>
  </si>
  <si>
    <t>HZS-Kraj Liberecký</t>
  </si>
  <si>
    <t>HZS-Kraj Královéhradecký</t>
  </si>
  <si>
    <t>HZS-Kraj Pardubický</t>
  </si>
  <si>
    <t>HZS-Kraj Vysočina</t>
  </si>
  <si>
    <t>HZS-Kraj Jihomoravský</t>
  </si>
  <si>
    <t>HZS-Kraj Olomoucký</t>
  </si>
  <si>
    <t>HZS-Kraj Moravskoslezský</t>
  </si>
  <si>
    <t>HZS-Kraj Zlínský</t>
  </si>
  <si>
    <t>Správa uprchlických zařízení MV</t>
  </si>
  <si>
    <t>Muzeum P ČR</t>
  </si>
  <si>
    <t>Zařízení služeb pro MV</t>
  </si>
  <si>
    <t>Institut pro místní správu MV</t>
  </si>
  <si>
    <t>Lázeňské léčebné ústavy MV</t>
  </si>
  <si>
    <t>SPO MV celkem</t>
  </si>
  <si>
    <t>z toho HZS ČR celkem</t>
  </si>
  <si>
    <t xml:space="preserve">                    Mzdové prostředky</t>
  </si>
  <si>
    <t>Povinné pojistné</t>
  </si>
  <si>
    <t>do RF</t>
  </si>
  <si>
    <t>Č vč. RF</t>
  </si>
  <si>
    <t>ARCHIVNICTVÍ  CELKEM</t>
  </si>
  <si>
    <t>R2 - upravený rozpočet</t>
  </si>
  <si>
    <t>Čerpání  výdajů kapitoly MV za rok 2004</t>
  </si>
  <si>
    <t>Příloha č. 4</t>
  </si>
  <si>
    <t>v tom:</t>
  </si>
  <si>
    <t>Disponent</t>
  </si>
  <si>
    <t>Příjmy</t>
  </si>
  <si>
    <t>Nedaňové</t>
  </si>
  <si>
    <t>Výdaje</t>
  </si>
  <si>
    <t>Převod</t>
  </si>
  <si>
    <t xml:space="preserve">Výzkum </t>
  </si>
  <si>
    <t>Platy zaměst.</t>
  </si>
  <si>
    <t>Platy</t>
  </si>
  <si>
    <t>Ostatní</t>
  </si>
  <si>
    <t>Povinné</t>
  </si>
  <si>
    <t>Důchody</t>
  </si>
  <si>
    <t xml:space="preserve">Ostatní </t>
  </si>
  <si>
    <t>Neinv.</t>
  </si>
  <si>
    <t>Příspěvky</t>
  </si>
  <si>
    <t>a kapitálové</t>
  </si>
  <si>
    <t>z pojistného</t>
  </si>
  <si>
    <t>pojistné na</t>
  </si>
  <si>
    <t>a vývoj</t>
  </si>
  <si>
    <t>kapitálové</t>
  </si>
  <si>
    <t>neinvestiční</t>
  </si>
  <si>
    <t>na fin.progr.</t>
  </si>
  <si>
    <t>NIV</t>
  </si>
  <si>
    <t>a OPPP</t>
  </si>
  <si>
    <t>zaměstnanců</t>
  </si>
  <si>
    <t>platby za</t>
  </si>
  <si>
    <t>pojistné</t>
  </si>
  <si>
    <t>soc. dávky</t>
  </si>
  <si>
    <t>Dávky</t>
  </si>
  <si>
    <t>Zvýšení důch.</t>
  </si>
  <si>
    <t>běžné</t>
  </si>
  <si>
    <t>dotace obč.</t>
  </si>
  <si>
    <t>na provoz</t>
  </si>
  <si>
    <t xml:space="preserve">Adresná </t>
  </si>
  <si>
    <t>Neadresná</t>
  </si>
  <si>
    <t>Platby spoj.</t>
  </si>
  <si>
    <t xml:space="preserve">Počty </t>
  </si>
  <si>
    <t>příjmy</t>
  </si>
  <si>
    <t>důch. poj.</t>
  </si>
  <si>
    <t>vč. převodu do RF</t>
  </si>
  <si>
    <t>bez převodu do RF</t>
  </si>
  <si>
    <t>výdaje</t>
  </si>
  <si>
    <t>reprodukce</t>
  </si>
  <si>
    <t>vázané k IP</t>
  </si>
  <si>
    <t>prov. práci</t>
  </si>
  <si>
    <t>plac. zaměst.</t>
  </si>
  <si>
    <t>dávky</t>
  </si>
  <si>
    <t>odchodné</t>
  </si>
  <si>
    <t>nem.poj.</t>
  </si>
  <si>
    <t>pro bezmoc.</t>
  </si>
  <si>
    <t>sdružením</t>
  </si>
  <si>
    <t>PO</t>
  </si>
  <si>
    <t>část</t>
  </si>
  <si>
    <t>s prov. obj.</t>
  </si>
  <si>
    <t>prov. výdaje</t>
  </si>
  <si>
    <t>S hl. m. Prahy</t>
  </si>
  <si>
    <t>S Středočeského kraje</t>
  </si>
  <si>
    <t>S Jihočeského kraje</t>
  </si>
  <si>
    <t>S Západočeského kraje</t>
  </si>
  <si>
    <t>S Severočeského kraje</t>
  </si>
  <si>
    <t>S Východočeského kraje</t>
  </si>
  <si>
    <t>S Jihomoravského kraje</t>
  </si>
  <si>
    <t>S Severomoravského kraje</t>
  </si>
  <si>
    <t>ORCN PP Svojšice</t>
  </si>
  <si>
    <t>navýšení 2003 - ošatné</t>
  </si>
  <si>
    <t>Mezisoučet OSS MV</t>
  </si>
  <si>
    <t>ms archivy celkem</t>
  </si>
  <si>
    <t>ms střední polic. školství</t>
  </si>
  <si>
    <t>ms polic. školství celkem</t>
  </si>
  <si>
    <t>SOŠ a VOŠ PO MV F.-M.</t>
  </si>
  <si>
    <t>del.</t>
  </si>
  <si>
    <t>ms SPO MV celkem</t>
  </si>
  <si>
    <t>Rezerva MV</t>
  </si>
  <si>
    <t>nerozepsané fin. prostředky</t>
  </si>
  <si>
    <t>z toho: HZS ČR celkem</t>
  </si>
  <si>
    <t xml:space="preserve">Plnění rozpočtových příjmů  MV dle údajů ČNB k 31.12.2004 </t>
  </si>
  <si>
    <t>příjmy z pojistného</t>
  </si>
  <si>
    <t>z toho pojistné na důch. pojištění</t>
  </si>
  <si>
    <t>nedaňové a kapitálové příjmy</t>
  </si>
  <si>
    <t xml:space="preserve">      Příjmy celkem</t>
  </si>
  <si>
    <t>Plnění</t>
  </si>
  <si>
    <t>Rozdíl</t>
  </si>
  <si>
    <t>%plnění k R2</t>
  </si>
  <si>
    <t>a</t>
  </si>
  <si>
    <t>b</t>
  </si>
  <si>
    <t>a-b</t>
  </si>
  <si>
    <t xml:space="preserve"> Policie  ČR celkem</t>
  </si>
  <si>
    <t>OEZ pro MV ČR</t>
  </si>
  <si>
    <t>OS MV</t>
  </si>
  <si>
    <t>Národní archiv  Praha</t>
  </si>
  <si>
    <t>SOA Praha</t>
  </si>
  <si>
    <t>SOA Třeboň</t>
  </si>
  <si>
    <t>SOA Plzeň</t>
  </si>
  <si>
    <t xml:space="preserve">SOA Litoměřice </t>
  </si>
  <si>
    <t>SOA Zámrsk</t>
  </si>
  <si>
    <t>mezisoučet archivy</t>
  </si>
  <si>
    <t>SOŠ a VOŠ PO Frýdek-Místek</t>
  </si>
  <si>
    <t xml:space="preserve">Policejní akademie </t>
  </si>
  <si>
    <t>mezisoučet</t>
  </si>
  <si>
    <t>mezisoučet  PO</t>
  </si>
  <si>
    <t>Plnění rozpočtových příjmů  MV dle údajů ČNB k 31.12.2004 - detail HZS krajů</t>
  </si>
  <si>
    <t>Příjmy z pojistného</t>
  </si>
  <si>
    <t>Nedaňové a kapitálové příjmy</t>
  </si>
  <si>
    <t>HZS krajů</t>
  </si>
  <si>
    <t>hl. m. Praha</t>
  </si>
  <si>
    <t>Plzeňský</t>
  </si>
  <si>
    <t>Královehradecký</t>
  </si>
  <si>
    <t>mezisoučet HZS krajů</t>
  </si>
  <si>
    <t xml:space="preserve">PHARE </t>
  </si>
  <si>
    <t xml:space="preserve">v Kč </t>
  </si>
  <si>
    <t>Investiční program resp. podprogr.</t>
  </si>
  <si>
    <t>Číslo projektu (programu) podle mezinárodní smlouvy</t>
  </si>
  <si>
    <t>Název projektu (programu)</t>
  </si>
  <si>
    <t>ze státního rozpočtu</t>
  </si>
  <si>
    <t>z rozpočtu EU</t>
  </si>
  <si>
    <t xml:space="preserve">Schválený rozpočet (R1)                  </t>
  </si>
  <si>
    <t xml:space="preserve">Upravený rozpočet          (R2)   viz přiložená  tabulka              </t>
  </si>
  <si>
    <t xml:space="preserve">Možnost překročení o mimoroz-počtové zdroje dle zák. č. 218/2000 Sb. </t>
  </si>
  <si>
    <t>Čerpání v roce 2004                                 (bez převodu do rezerv. fondu v roce 2004)</t>
  </si>
  <si>
    <t>Převedeno    do rezevního fondu v roce 2004</t>
  </si>
  <si>
    <t>Čerpání v roce 2004      celkem                                (vč. převodu do rezerv. fondu v roce 2004) (sl.5+6)</t>
  </si>
  <si>
    <t>Porovnání čerpání v roce 2003 ve vztahu k R2</t>
  </si>
  <si>
    <t>Porovnání čerpání v roce 2003 ve vztahu k celk. možnosti čerpání</t>
  </si>
  <si>
    <t xml:space="preserve">Čerpání v roce          2003               </t>
  </si>
  <si>
    <t>Porovnání čerpání 2004/2003     v %       (sloupec 5:12)</t>
  </si>
  <si>
    <t xml:space="preserve">Čerpání v roce          2004               </t>
  </si>
  <si>
    <t>c</t>
  </si>
  <si>
    <t>d</t>
  </si>
  <si>
    <t>CZ 98 10.02</t>
  </si>
  <si>
    <t>OPe MV</t>
  </si>
  <si>
    <t>v tom : kapitálové výdaje</t>
  </si>
  <si>
    <t xml:space="preserve">             běžné související výdaje</t>
  </si>
  <si>
    <t>CZ 00 07.01</t>
  </si>
  <si>
    <t>OBP MV</t>
  </si>
  <si>
    <t>214 010</t>
  </si>
  <si>
    <t>CZ 00 07.02</t>
  </si>
  <si>
    <t>OAMP MV</t>
  </si>
  <si>
    <t>214 110</t>
  </si>
  <si>
    <t>CZ 00 07.03</t>
  </si>
  <si>
    <t>ÚOKFK</t>
  </si>
  <si>
    <t>SKPV PP</t>
  </si>
  <si>
    <t>CZ 00 09.01</t>
  </si>
  <si>
    <t>OMVS MV</t>
  </si>
  <si>
    <t>CZ 01 07.04</t>
  </si>
  <si>
    <t>CZ 01 07.05</t>
  </si>
  <si>
    <t>CZ 01 07.06</t>
  </si>
  <si>
    <t>CZ 01 07.07</t>
  </si>
  <si>
    <t>KÚP PP</t>
  </si>
  <si>
    <t>214410</t>
  </si>
  <si>
    <t>CZ 01 09.03</t>
  </si>
  <si>
    <t>OIVS/OEZ</t>
  </si>
  <si>
    <t xml:space="preserve">             běžné související  výdaje</t>
  </si>
  <si>
    <t xml:space="preserve">             běžné výdaje</t>
  </si>
  <si>
    <t>CZ 02 07.01</t>
  </si>
  <si>
    <t>CZ 02 07.02</t>
  </si>
  <si>
    <t>CZ 02 07.03</t>
  </si>
  <si>
    <t>CZ 02 09.02</t>
  </si>
  <si>
    <t>OPPVS MV</t>
  </si>
  <si>
    <t>CZ 03 05.03</t>
  </si>
  <si>
    <t>CZ 03 05.04</t>
  </si>
  <si>
    <t>PČR/ÚOOZ</t>
  </si>
  <si>
    <t>SCPP PP</t>
  </si>
  <si>
    <t>OBP/OPK</t>
  </si>
  <si>
    <t>CZ 03 05.05</t>
  </si>
  <si>
    <t>Přehled o výdajích na financování programů reprodukce majetku v roce 2004 dle jednotlivých programů</t>
  </si>
  <si>
    <t>Investiční program resp. podprogram</t>
  </si>
  <si>
    <t>Název</t>
  </si>
  <si>
    <t xml:space="preserve">Schválený rozpočet            (R1)                 </t>
  </si>
  <si>
    <t xml:space="preserve">Zapojení mimoroz-počtových zdrojů dle zák. č. 218/2000 Sb. </t>
  </si>
  <si>
    <t xml:space="preserve">Celková možnost 
čerpání po zapojení mimorozpočtových zdrojů
(sl. 2+3)        </t>
  </si>
  <si>
    <t>Čerpání v roce 2004 celkem                                (vč. převodu do rezerv. fondu v roce 2004) (sl.5+6)</t>
  </si>
  <si>
    <t xml:space="preserve">Porovnání čerpání v roce 2004 ve vztahu k celk. možnosti čerpání  </t>
  </si>
  <si>
    <t xml:space="preserve">Čerpání
v roce
2003              </t>
  </si>
  <si>
    <t>Rozvoj a obnova materiálně-technické základny systému řízení MV</t>
  </si>
  <si>
    <t>Rozvoj a obnova materiálně-technické základny školství, vzdělávání a tělovýchovy</t>
  </si>
  <si>
    <t>Rozvoj a obnova materiálně-technické základny státních archivů</t>
  </si>
  <si>
    <t>Rozvoj a obnova materiálně-technické základny organizací služeb rezortu MV</t>
  </si>
  <si>
    <t>Podpora prevence kriminality na místní úrovni</t>
  </si>
  <si>
    <t>Rozvoj a obnova materiálně-technické základny Policie ČR</t>
  </si>
  <si>
    <t xml:space="preserve">Rozvoj a obnova materiálně-technické základny hasičského záchranného sboru </t>
  </si>
  <si>
    <t>Podpora rozvoje a obnovy materiálně-technické základny veřejné správy</t>
  </si>
  <si>
    <t>214510</t>
  </si>
  <si>
    <t>Rozvoj a obnova systému vládního utajeného spojení</t>
  </si>
  <si>
    <t>Reforma veřejné správy</t>
  </si>
  <si>
    <t>Rozvoj a obnova radiokomunikačního systému hlavních složek IZS - PEGAS</t>
  </si>
  <si>
    <t>Výstavba a obnova budov a staveb policejních útvarů</t>
  </si>
  <si>
    <t>Reprodukce investičního majetku školských a vzdělávacích zařízení</t>
  </si>
  <si>
    <t>Reprodukce investičního majetku Ředitelství záchranného sboru</t>
  </si>
  <si>
    <t>Reprodukce investičního majetku jednotek záchranných sborů</t>
  </si>
  <si>
    <t>Transfer přijatý z jiných kapitol</t>
  </si>
  <si>
    <t>Transfer předaný do jiných kapitol</t>
  </si>
  <si>
    <t>Celkem (včetně transferů)</t>
  </si>
  <si>
    <t>Vypracoval : Štěpánek, tel. 974849205</t>
  </si>
  <si>
    <t>Kontroloval: Ing. Šolta, tel. 974849818</t>
  </si>
  <si>
    <t>Výdaje účelově určené na financování programů reprodukce majetku - po organizačních součástech kapitoly MV</t>
  </si>
  <si>
    <t>Organizační součást kapitoly MV</t>
  </si>
  <si>
    <t>typ FP</t>
  </si>
  <si>
    <t>Čerpání celkem</t>
  </si>
  <si>
    <t>Převod do RF</t>
  </si>
  <si>
    <t>P ČR S hl. města Prahy</t>
  </si>
  <si>
    <t>KV</t>
  </si>
  <si>
    <t>BVS</t>
  </si>
  <si>
    <t>P ČR S hl. města Prahy celkem</t>
  </si>
  <si>
    <t>PČR S Středočeského kraje</t>
  </si>
  <si>
    <t>P ČR S Středočeského kraje celkem</t>
  </si>
  <si>
    <t>P ČR S Jihočeského kraje celkem</t>
  </si>
  <si>
    <t>P ČR S Západočeského kraje celkem</t>
  </si>
  <si>
    <t>P ČR S Severočeského kraje celkem</t>
  </si>
  <si>
    <t>PČR S Východočeského kraje</t>
  </si>
  <si>
    <t>P ČR S Východočeského kraje celkem</t>
  </si>
  <si>
    <t>PČR S Severomoravského kraje</t>
  </si>
  <si>
    <t>P ČR S Severomoravského kraje celkem</t>
  </si>
  <si>
    <t>P ČR S Jihomoravského kraje celkem</t>
  </si>
  <si>
    <t>Hospodářská správa PP ČR celkem</t>
  </si>
  <si>
    <t>Policejní prezidium ČR</t>
  </si>
  <si>
    <t>Rezerva P ČR</t>
  </si>
  <si>
    <t>Rezerva P ČR celkem</t>
  </si>
  <si>
    <t>P ČR celkem</t>
  </si>
  <si>
    <t>OEZ pro MV celkem</t>
  </si>
  <si>
    <t>Odbor sportu MV celkem</t>
  </si>
  <si>
    <t>GŘ HZS celkem</t>
  </si>
  <si>
    <t>SÚA v Praze celkem</t>
  </si>
  <si>
    <t>SOA v Praze celkem</t>
  </si>
  <si>
    <t>SOA v Třeboni celkem</t>
  </si>
  <si>
    <t>SOA v Plzni celkem</t>
  </si>
  <si>
    <t>SOA v Litoměřicích celkem</t>
  </si>
  <si>
    <t>SOA v Zámrsku celkem</t>
  </si>
  <si>
    <t>MZA v Brně celkem</t>
  </si>
  <si>
    <t>ZA v Opavě celkem</t>
  </si>
  <si>
    <t>Archivy Celkem</t>
  </si>
  <si>
    <t xml:space="preserve">SPŠ Praha </t>
  </si>
  <si>
    <t>SPŠ Praha</t>
  </si>
  <si>
    <t>SPŠ Brno</t>
  </si>
  <si>
    <t>SPŠ Holešov</t>
  </si>
  <si>
    <t>SPŠ Jihlava</t>
  </si>
  <si>
    <t>SPŠ Pardubice</t>
  </si>
  <si>
    <t>SPŠ Praha Ruzyně</t>
  </si>
  <si>
    <t>PA ČR</t>
  </si>
  <si>
    <t>PA ČR celkem</t>
  </si>
  <si>
    <t>SOŠ a VOŠ F-M</t>
  </si>
  <si>
    <t>HZS hl.m.Prahy</t>
  </si>
  <si>
    <t>HZS hl.m.Prahy celkem</t>
  </si>
  <si>
    <t>HZS Středočeského kraje</t>
  </si>
  <si>
    <t>HZS Středočeského kraje celkem</t>
  </si>
  <si>
    <t>HZS Jihočeského kraje</t>
  </si>
  <si>
    <t>HZS Jihočeského kraje celkem</t>
  </si>
  <si>
    <t>HZS Plzeňského kraje</t>
  </si>
  <si>
    <t>HZS Karlovarského kraje</t>
  </si>
  <si>
    <t>HZS Karlovarského kraje celkem</t>
  </si>
  <si>
    <t>HZS Ústeckého kraje</t>
  </si>
  <si>
    <t>HZS Ústeckého kraje celkem</t>
  </si>
  <si>
    <t>HZS Libereckého kraje</t>
  </si>
  <si>
    <t>HZS Libereckého kraje celkem</t>
  </si>
  <si>
    <t>HZS Královéhradeckého kraje</t>
  </si>
  <si>
    <t>HZS Královéhradeckého kraje celkem</t>
  </si>
  <si>
    <t>HZS Pardubického kraje</t>
  </si>
  <si>
    <t>HZS Pardubického kraje celkem</t>
  </si>
  <si>
    <t>HZS kraje Vysočina</t>
  </si>
  <si>
    <t>HZS kraje Vysočina celkem</t>
  </si>
  <si>
    <t>HZS Jihomoravského kraje</t>
  </si>
  <si>
    <t>HZS Jihomoravského kraje celkem</t>
  </si>
  <si>
    <t>HZS Olomouckého kraje</t>
  </si>
  <si>
    <t>HZS Olomouckého kraje celkem</t>
  </si>
  <si>
    <t>HZS Moravskoslezského kraje</t>
  </si>
  <si>
    <t>HZS Moravskoslezského kraje celkem</t>
  </si>
  <si>
    <t>HZS Zlínského kraje</t>
  </si>
  <si>
    <t>HZS Zlínského kraje celkem</t>
  </si>
  <si>
    <t>Rezerva HZS krajů</t>
  </si>
  <si>
    <t>Rezerva HZS krajů celkem</t>
  </si>
  <si>
    <t>Muzeum P ČR celkem</t>
  </si>
  <si>
    <t>SUZ</t>
  </si>
  <si>
    <t>SUZ celkem</t>
  </si>
  <si>
    <t>OSS Kapitoly MV celkem</t>
  </si>
  <si>
    <t>BS</t>
  </si>
  <si>
    <t>Bytová správa MV Celkem</t>
  </si>
  <si>
    <t>IMS</t>
  </si>
  <si>
    <t>IMS celkem</t>
  </si>
  <si>
    <t>LLÚ</t>
  </si>
  <si>
    <t>LLÚ celkem</t>
  </si>
  <si>
    <t>Tiskárna</t>
  </si>
  <si>
    <t>Tiskárna celkem</t>
  </si>
  <si>
    <t>ZS</t>
  </si>
  <si>
    <t>ZS celkem</t>
  </si>
  <si>
    <t>Kapitola MV celkem bez přijatých transferů</t>
  </si>
  <si>
    <t>Přijaté transfery z kapitoly 233 celkem</t>
  </si>
  <si>
    <t>Kapitola MV celkem včetně přijatých transferů</t>
  </si>
  <si>
    <t>Výdaje za oblast archivnictví v roce 2004 - bez převodu do rezervního fondu</t>
  </si>
  <si>
    <t>Vypracoval: Ing. Voříšek, 974 849 228</t>
  </si>
  <si>
    <t>Datum: 14. 2. 2005</t>
  </si>
  <si>
    <t>Tabulka č. 21</t>
  </si>
  <si>
    <t>Tabulka č. 22</t>
  </si>
  <si>
    <t>Kapitola: 314 - Ministerstvo vnitra</t>
  </si>
  <si>
    <t>Kapitola 314 - Ministerstvo vnitra</t>
  </si>
  <si>
    <t>Přehled o důchodech v roce 2004</t>
  </si>
  <si>
    <t>Druh dávky</t>
  </si>
  <si>
    <t>Porovnání čerpání v roce 2004 ve vztahu k celk. možnosti čerpání</t>
  </si>
  <si>
    <t xml:space="preserve">Čerpání v roce 2003               </t>
  </si>
  <si>
    <t>Porovnání čerpání 2004/2003           v %            (sloupec 5:12)</t>
  </si>
  <si>
    <t>Počet
příjemců důchodů k 31.12. 2004</t>
  </si>
  <si>
    <t>Počet příjemců důchodů k 31.12.2003</t>
  </si>
  <si>
    <t xml:space="preserve">Průměrná výše důchodu v roce      2004                   </t>
  </si>
  <si>
    <t xml:space="preserve">Průměrná výše důchodu     v roce 2003       </t>
  </si>
  <si>
    <t>Počet                                        nově přiznaných důchodů v roce 2004</t>
  </si>
  <si>
    <t>z toho :           počet nově přiznaných předčasných důchodů</t>
  </si>
  <si>
    <t xml:space="preserve">Počet
příjemců důchodů 2003-2002 </t>
  </si>
  <si>
    <t xml:space="preserve">Průměrná výše důchodu 2003-2002                   </t>
  </si>
  <si>
    <t>12</t>
  </si>
  <si>
    <t>13</t>
  </si>
  <si>
    <t>14</t>
  </si>
  <si>
    <t>15</t>
  </si>
  <si>
    <t>16</t>
  </si>
  <si>
    <t>17</t>
  </si>
  <si>
    <t>18</t>
  </si>
  <si>
    <t>19</t>
  </si>
  <si>
    <t>(sl.14 - sl.15)</t>
  </si>
  <si>
    <t>(sl.16 - sl.17)</t>
  </si>
  <si>
    <t xml:space="preserve"> Důchody celkem</t>
  </si>
  <si>
    <t>(účet s předčíslím 2022)</t>
  </si>
  <si>
    <t>v tom :</t>
  </si>
  <si>
    <t>Důchody starobní</t>
  </si>
  <si>
    <t>Důchody plné invalidní</t>
  </si>
  <si>
    <t xml:space="preserve">Důchody částečně invalidní </t>
  </si>
  <si>
    <t>Důchody vdovecké</t>
  </si>
  <si>
    <t>Důchody vdovské</t>
  </si>
  <si>
    <t>Důchody sirotčí</t>
  </si>
  <si>
    <t>Zpracovala: Šťastná, Šponerová</t>
  </si>
  <si>
    <t>Telefon: 974 849 819,817</t>
  </si>
  <si>
    <t>Přehled o  ostatních dávkách, dávkách nemocenského pojištění a  výdajích na zvýšení důchodů pro bezmocnost v roce 2004</t>
  </si>
  <si>
    <t xml:space="preserve">Čerpání v roce 2003              </t>
  </si>
  <si>
    <r>
      <t>Porovnání čerpání 2004/2003     v %       (</t>
    </r>
    <r>
      <rPr>
        <sz val="10"/>
        <rFont val="Times New Roman CE"/>
        <family val="1"/>
      </rPr>
      <t>sloupec 5:12)</t>
    </r>
  </si>
  <si>
    <t>Počet
příjemců  dávky k 31.12. 2004</t>
  </si>
  <si>
    <t>Počet
příjemců dávky k 31.12.2003</t>
  </si>
  <si>
    <t xml:space="preserve">Průměrná výše dávky v roce 2004       </t>
  </si>
  <si>
    <t xml:space="preserve">Průměrná výše dávky v roce 2003       </t>
  </si>
  <si>
    <t>Ostatní dávky celkem</t>
  </si>
  <si>
    <t>(účet s předčíslím 3025)</t>
  </si>
  <si>
    <t>Příspěvek za službu</t>
  </si>
  <si>
    <t>Platové vyrovnání</t>
  </si>
  <si>
    <t>x</t>
  </si>
  <si>
    <t>Úmrtné</t>
  </si>
  <si>
    <t>Odchodné</t>
  </si>
  <si>
    <t>Dávky nemocenského pojištění a výdaje na zvýšení důchodů pro bezmocnost celkem</t>
  </si>
  <si>
    <t>(účet s předčíslím 027)</t>
  </si>
  <si>
    <t>Nemocenské</t>
  </si>
  <si>
    <t>Peněžitá pomoc v mateřství</t>
  </si>
  <si>
    <t>Příspěvek v těhot. a mateřství</t>
  </si>
  <si>
    <t>Zvýšení důchodu pro bezmoc.</t>
  </si>
  <si>
    <t>Dávky jinde nezařazené</t>
  </si>
  <si>
    <t>Zpracovala: Sťastná, Šponerová</t>
  </si>
  <si>
    <t>Čerpání mimorozpočtových zdrojů v roce 2004 - sponzorské dary, rezervní fond dle § 48 a 70 zákona o rozpočtových pravidlech</t>
  </si>
  <si>
    <t>Výdaje na financování programů reprodukce majetku</t>
  </si>
  <si>
    <t xml:space="preserve">v+v kapitálový                  </t>
  </si>
  <si>
    <t>dary</t>
  </si>
  <si>
    <t>poj. události</t>
  </si>
  <si>
    <t>mzd. prostř.</t>
  </si>
  <si>
    <t>přísp. § 45</t>
  </si>
  <si>
    <t>RF dle § 48, 70</t>
  </si>
  <si>
    <t xml:space="preserve">celkem běžné </t>
  </si>
  <si>
    <t>repr.maj. § 50</t>
  </si>
  <si>
    <t>RF dle § 48</t>
  </si>
  <si>
    <t>RF dle § 47</t>
  </si>
  <si>
    <t xml:space="preserve"> BV +VFP+v+v</t>
  </si>
  <si>
    <t xml:space="preserve">AXB </t>
  </si>
  <si>
    <t>SÚA  v Praze</t>
  </si>
  <si>
    <t>ms archivy</t>
  </si>
  <si>
    <t>ms stř.policejní školství</t>
  </si>
  <si>
    <t>ms policejní školství</t>
  </si>
  <si>
    <t xml:space="preserve">ms resortní školství </t>
  </si>
  <si>
    <t>kapitola MV  celkem</t>
  </si>
  <si>
    <t>MV bez rezervy</t>
  </si>
  <si>
    <t>rezerva ministra</t>
  </si>
  <si>
    <t>schválený</t>
  </si>
  <si>
    <t>upravený</t>
  </si>
  <si>
    <t xml:space="preserve">hl. m. Praha </t>
  </si>
  <si>
    <t>Rezerva</t>
  </si>
  <si>
    <t>Celkem HZS krajů</t>
  </si>
  <si>
    <t>SOŠ a VOŠ PO F-M</t>
  </si>
  <si>
    <t>GŘ HZS ČR</t>
  </si>
  <si>
    <t>Výdaje na financov. programů</t>
  </si>
  <si>
    <t>Vypracoval: Ing. Petrák, 974 849 806</t>
  </si>
  <si>
    <t>Kontroloval: Ing. Hudera, 974 849 802</t>
  </si>
  <si>
    <t>Tabulka č. 9</t>
  </si>
  <si>
    <t>Tabulka č. 9/1</t>
  </si>
  <si>
    <t>Tabulka č. 10</t>
  </si>
  <si>
    <t>vč.přev.do rez.fondu v roce 2004    (sl.7-2)</t>
  </si>
  <si>
    <t>vč. přev.do rez.fondu v roce 2004      (sl. 7-4)</t>
  </si>
  <si>
    <t>Tabulka č. 11</t>
  </si>
  <si>
    <t>kapitola: 314 - Ministerstvo vnitra</t>
  </si>
  <si>
    <t>Tabulka č. 12</t>
  </si>
  <si>
    <t>Porovnání čerpání 2004/2003 v %       (sloupec 5:12)</t>
  </si>
  <si>
    <t xml:space="preserve">Celková možnost čerpání  (sl. 2+3)         </t>
  </si>
  <si>
    <t>Vypracoval: Beran, 974 849 329</t>
  </si>
  <si>
    <t xml:space="preserve"> Servis.podp.dat.centr.PČR</t>
  </si>
  <si>
    <t xml:space="preserve">  Natur.výstroj policistů</t>
  </si>
  <si>
    <t>Kontroloval: Ing. Kroupa, 974 849 325</t>
  </si>
  <si>
    <t xml:space="preserve">Kapitola: 314 - Ministerstvo vnitra </t>
  </si>
  <si>
    <t>Tabulka č. 13</t>
  </si>
  <si>
    <t xml:space="preserve">Celková možnost čerpání                       (sl. 2+3)          </t>
  </si>
  <si>
    <t>Vypracoval: Vondrka, 974 849 380</t>
  </si>
  <si>
    <t>Přehled čerpání ostatních běžných výdajů (vybrané běžné výdaje) - platby spojené s provozem objektů v roce 2004 - detail dle jednotlivých OSS a OSS MV</t>
  </si>
  <si>
    <t>Tabulka č. 13/1</t>
  </si>
  <si>
    <t>OSS  MV</t>
  </si>
  <si>
    <t>energie</t>
  </si>
  <si>
    <t>zásoby</t>
  </si>
  <si>
    <t>ostatní</t>
  </si>
  <si>
    <t>nájemné</t>
  </si>
  <si>
    <t>Tisk</t>
  </si>
  <si>
    <t>Vratné ob.</t>
  </si>
  <si>
    <t>techn.služby</t>
  </si>
  <si>
    <t>školení</t>
  </si>
  <si>
    <t>Mobil a Intern</t>
  </si>
  <si>
    <t>CCS karty</t>
  </si>
  <si>
    <t>Poštovné</t>
  </si>
  <si>
    <t>nevyúčt.z.</t>
  </si>
  <si>
    <t xml:space="preserve">        z toho:</t>
  </si>
  <si>
    <t>OSS MV(ústřední orgán)</t>
  </si>
  <si>
    <t>OSS MV(archívy)</t>
  </si>
  <si>
    <t>OSS MV (ostatní)</t>
  </si>
  <si>
    <t>PO  MV</t>
  </si>
  <si>
    <t>Mobil</t>
  </si>
  <si>
    <t>BS MV</t>
  </si>
  <si>
    <t>ZS MV</t>
  </si>
  <si>
    <t>IMS Praha</t>
  </si>
  <si>
    <t>Procentuální vyjádření :</t>
  </si>
  <si>
    <t>OSS MV</t>
  </si>
  <si>
    <t>PO MV</t>
  </si>
  <si>
    <t>Stav pohledávek  k 31.12.2004</t>
  </si>
  <si>
    <t>Povolování splátek a odkladu placení</t>
  </si>
  <si>
    <t xml:space="preserve"> Prominutí dluhu</t>
  </si>
  <si>
    <t>Počet</t>
  </si>
  <si>
    <t>Suma v Kč</t>
  </si>
  <si>
    <t>dle  zákona č. 219/2000 Sb.</t>
  </si>
  <si>
    <t>dle § 31</t>
  </si>
  <si>
    <t>dle § 34 - sociální důvody ( odst.1)</t>
  </si>
  <si>
    <t>Prozatímní upuštění od vymáhání pohledávek</t>
  </si>
  <si>
    <t>Trvalé upuštění od vymáhání pohledávek, vyžadující schválení v rámci Ministerstva vnitra</t>
  </si>
  <si>
    <t>Trvalé upuštění od vymáhání pohledávek, vyžadující schválení Ministerstvem financí</t>
  </si>
  <si>
    <t xml:space="preserve">               § 31 -  vyhláškou ost.</t>
  </si>
  <si>
    <t>§ 35 a § 36(2)</t>
  </si>
  <si>
    <t>dle § 35 a 36 (1)</t>
  </si>
  <si>
    <t>Přehled o čerpání rozpočtu Ministerstva vnitra od roku 1993</t>
  </si>
  <si>
    <t>U k a z a t e l</t>
  </si>
  <si>
    <t>skutečnost 1993</t>
  </si>
  <si>
    <t>skutečnost 1994</t>
  </si>
  <si>
    <t>skutečnost 1995</t>
  </si>
  <si>
    <t>skutečnost 1996</t>
  </si>
  <si>
    <t>skutečnost 1997</t>
  </si>
  <si>
    <t>skutečnost 1998</t>
  </si>
  <si>
    <t>skutečnost 1999</t>
  </si>
  <si>
    <t>skutečnost 2000</t>
  </si>
  <si>
    <t>skutečnost 2001</t>
  </si>
  <si>
    <t>skutečnost 2002</t>
  </si>
  <si>
    <t>skutečnost 2003</t>
  </si>
  <si>
    <t>skutečnost 2004</t>
  </si>
  <si>
    <t>návrh rozpočtu 2005</t>
  </si>
  <si>
    <t>Příjmy celkem</t>
  </si>
  <si>
    <t>v tom :  -  pojistné</t>
  </si>
  <si>
    <t xml:space="preserve">                   z toho:  důchodové pojištění</t>
  </si>
  <si>
    <t xml:space="preserve">             - nedaňové příjmy</t>
  </si>
  <si>
    <t>Výdaje celkem</t>
  </si>
  <si>
    <t>v tom: - výdaje na financ.progr.vč. BV</t>
  </si>
  <si>
    <t xml:space="preserve">            - výzkum a vývoj</t>
  </si>
  <si>
    <t xml:space="preserve">            - běžné výdaje celkem</t>
  </si>
  <si>
    <t xml:space="preserve">           - platy zaměstnanců a OPPP</t>
  </si>
  <si>
    <t xml:space="preserve">           - pojistné a FKSP</t>
  </si>
  <si>
    <t xml:space="preserve">           - dávky sociálního zabezpečení</t>
  </si>
  <si>
    <t xml:space="preserve">           - příspěvek na provoz PO</t>
  </si>
  <si>
    <t xml:space="preserve">           - dotace obč.sdružením + NNO</t>
  </si>
  <si>
    <t xml:space="preserve">           - ostatní běžné výdaje - reziduum</t>
  </si>
  <si>
    <t>Počet pracovníků celkem</t>
  </si>
  <si>
    <t xml:space="preserve">         v tom: - policisté </t>
  </si>
  <si>
    <t xml:space="preserve">                    - občanští zaměstnanci</t>
  </si>
  <si>
    <t>Průměrná měsíční mzda v resortu</t>
  </si>
  <si>
    <t xml:space="preserve">          z toho: -  policistů (hasičů)</t>
  </si>
  <si>
    <t xml:space="preserve">                      - občanských zaměstnanců</t>
  </si>
  <si>
    <t>Informativní údaje</t>
  </si>
  <si>
    <t>Podíl mandatorních výdajů na OBV OSS  (v%)</t>
  </si>
  <si>
    <t>Podíl ostatních výdajů na OBV OSS  (v%)</t>
  </si>
  <si>
    <t>OBV (reziduum) na pracovníka a rok  (v tis.Kč)</t>
  </si>
  <si>
    <t>Výdaje na PF + ost.běžné výdaje (reziduum)</t>
  </si>
  <si>
    <t>Výdaje na PF + OBV na prac.a rok (v tis.Kč)</t>
  </si>
  <si>
    <t>Pro účely tohoto přehledu jsou za mandatorní výdaje považovány platy zaměstnanců a OPPP, pojistné a FKSP a dávky sociálního zabezpečení.</t>
  </si>
  <si>
    <t>Návrh rozpočtu na rok 2005 je uveden včetně dopadu služebního zákona č. 361/2003 Sb. (platy, zákonné odvody, ostatní sociální dávky)</t>
  </si>
  <si>
    <t>Podle metodiky MF byly pro rok 2005 z OBV vyvedeny prostředky ve výši 2 207 000 tis.Kč do programového financování a současně tyto byly podle pokynu MF kráceny o 450 000 tis.Kč.</t>
  </si>
  <si>
    <t>Poskytnuté provozní zálohy - stav k 31. 12. 2004</t>
  </si>
  <si>
    <t>Tabulka č. 15</t>
  </si>
  <si>
    <t>Vypracovala: Ing. Wimmerová, 974 849 731</t>
  </si>
  <si>
    <t>Tabulka č. 16</t>
  </si>
  <si>
    <t>Pozn.: Správa pohledávek se řídí zákonem č. 219/2000 Sb., § 31 až § 37.</t>
  </si>
  <si>
    <t>Tabulka č. 17</t>
  </si>
  <si>
    <t>Tabulka č. 18</t>
  </si>
  <si>
    <t>Pozn.: K OEZ pro MV převedeny finanční prostředky SPO ve výši 36 005 294,70 Kč.</t>
  </si>
  <si>
    <t>Přehled o stavu pohledávek k 31. 12. 2004</t>
  </si>
  <si>
    <t>Tabulka č. 18/1</t>
  </si>
  <si>
    <t xml:space="preserve">Kapitola: 314 - MINISTERSTVO VNITRA </t>
  </si>
  <si>
    <t>Výdaje na financování programů (projektů), které byly v roce 2004 spolufinancováné z prostředků Evropské unie</t>
  </si>
  <si>
    <t>tel.: 974 849 665, 974 849 803</t>
  </si>
  <si>
    <t>Vypracovali: Ing. Šlár, Pechová</t>
  </si>
  <si>
    <t>Tabulka č. 20</t>
  </si>
  <si>
    <t>Vypracovali: Ing. Petrák, Šťastná, Šponerová</t>
  </si>
  <si>
    <t>Tel.: 974 849 806, 974 849 819, 974 849 817</t>
  </si>
  <si>
    <t>Garant projektu</t>
  </si>
  <si>
    <t>Porovnání čerpání 2004/2003  v %       (sloupec 5:12)</t>
  </si>
  <si>
    <t xml:space="preserve"> Výdaje celkem</t>
  </si>
  <si>
    <t xml:space="preserve"> Mzdové prostředky</t>
  </si>
  <si>
    <t xml:space="preserve"> Sociální dávky celkem</t>
  </si>
  <si>
    <t>Zpracovala: Ing. Bočanová, 974 849 815</t>
  </si>
  <si>
    <t>Tabulka č. 23</t>
  </si>
  <si>
    <t>Vypracovala: Ing. Bočanová, 974 849 815</t>
  </si>
  <si>
    <t>Tabulka č. 24</t>
  </si>
  <si>
    <t>Běžné výdaje = platy zaměstnanců a OPPP, povinné pojistné placené zaměstnavatelem, FKSP, důchody, ostatní sociální dávky a ostatní běžné výdaje</t>
  </si>
  <si>
    <t>Tabulka č. 24/1</t>
  </si>
  <si>
    <t>Tabulka č. 24/2</t>
  </si>
  <si>
    <t>Tabulka č. 24/3</t>
  </si>
  <si>
    <t>Tabulka č. 25</t>
  </si>
  <si>
    <t>Vypracoval: Ing. Ševčík, 974 849 805</t>
  </si>
  <si>
    <t>se stavem k 31. 12. 2004</t>
  </si>
  <si>
    <t>Výdaje  HZS celkem a detail dle jednotlivých HZS v roce 2004 bez převodu do rezervního fondu</t>
  </si>
  <si>
    <t>Celková rekapitulace výdajů v roce 2004 dle jednotlivých čtvrtletí</t>
  </si>
  <si>
    <t>Přehled čerpání běžných výdajů v roce 2004 dle jednotlivých čtvrtletí</t>
  </si>
  <si>
    <t>Přehled čerpání výdajů na financování programů reprodukce majetku v roce 2004 dle jednotlivých čtvrtletí</t>
  </si>
  <si>
    <t>Přehled čerpání výdajů na výzkum a vývoj v roce 2004 dle jednotlivých čtvrtletí</t>
  </si>
  <si>
    <t xml:space="preserve">celkem výd. na financování programů </t>
  </si>
  <si>
    <t>Státní ústřední archiv
v Praze (od 1. 1. 2005 Národní archiv)</t>
  </si>
  <si>
    <t>Vypracovala: Ing. Meluzinová, 974 849 662</t>
  </si>
  <si>
    <t>List 1/2</t>
  </si>
  <si>
    <t>List 2/2</t>
  </si>
  <si>
    <t>Kontroloval: Kroupa, 974 849 835</t>
  </si>
  <si>
    <t>Kontroloval: Kroupa, 974 849 325</t>
  </si>
  <si>
    <t>nerozepsáno</t>
  </si>
  <si>
    <t xml:space="preserve">Čerpání v roce 2004                               (bez převodu do rezerv. fondu v roce 2004) </t>
  </si>
  <si>
    <t>Převedeno       do rezevního fondu  v roce  2004</t>
  </si>
  <si>
    <t>vč. převodu do rezervního fondu         v roce 2004 (sl.7-2)</t>
  </si>
  <si>
    <t>bez převodu do rezervního fondu v roce 2004 (sl. 5-2)</t>
  </si>
  <si>
    <t>bez převodu do rezervního fondu  v roce 2004        (sl. 5-4)</t>
  </si>
  <si>
    <t>vč. převodu do rezervního fondu v roce 2004      (sl. 7-4)</t>
  </si>
  <si>
    <t>Datum: 14. 2. 2004</t>
  </si>
  <si>
    <t>Tabulka č. 14</t>
  </si>
  <si>
    <t>Druh majetku - číselník</t>
  </si>
  <si>
    <t xml:space="preserve"> </t>
  </si>
  <si>
    <t>C E L K E M</t>
  </si>
  <si>
    <t>Generální ředitelství</t>
  </si>
  <si>
    <t>HZS ČR</t>
  </si>
  <si>
    <t>Zemský archiv</t>
  </si>
  <si>
    <t>Opava</t>
  </si>
  <si>
    <t>Hospodářská správa</t>
  </si>
  <si>
    <t>Středočeského kraje</t>
  </si>
  <si>
    <t>Severočeského kraje</t>
  </si>
  <si>
    <t>Pozn.:</t>
  </si>
  <si>
    <t>Číselník majetku :</t>
  </si>
  <si>
    <t>Budovy</t>
  </si>
  <si>
    <t>majetek</t>
  </si>
  <si>
    <t>pozemky</t>
  </si>
  <si>
    <t>stavby</t>
  </si>
  <si>
    <t>výzbrojní</t>
  </si>
  <si>
    <t>letecký</t>
  </si>
  <si>
    <t>ženijní</t>
  </si>
  <si>
    <t>spojovací</t>
  </si>
  <si>
    <t>chemický</t>
  </si>
  <si>
    <t>automobilní</t>
  </si>
  <si>
    <t>výstrojní</t>
  </si>
  <si>
    <t>proviantní</t>
  </si>
  <si>
    <t>stavebně ub.</t>
  </si>
  <si>
    <t>foto-kino</t>
  </si>
  <si>
    <t>výpočetní</t>
  </si>
  <si>
    <t>*)     (- xxx)</t>
  </si>
  <si>
    <t>Majetek předaný resortem jinému subjektu………………….</t>
  </si>
  <si>
    <t>*)     (+ xxx)</t>
  </si>
  <si>
    <t>Majetek přijatý resortem od jiného subjektu………………..</t>
  </si>
  <si>
    <t>REKAPITULACE bezúplatného předání majetku dle jednotlivých druhů  v členění dle  OSS</t>
  </si>
  <si>
    <t>Tabulka č. 26</t>
  </si>
  <si>
    <t>Správa P ČR Jihočeského kraje</t>
  </si>
  <si>
    <t>Správa P ČR Západočeského kraje</t>
  </si>
  <si>
    <t>Správa P ČR Východočeského kraje</t>
  </si>
  <si>
    <t>Správa P ČR Jihomoravského kraje</t>
  </si>
  <si>
    <t>Správa P ČR Severomoravského kraje</t>
  </si>
  <si>
    <t>Správa P ČR hl.m. Prahy</t>
  </si>
  <si>
    <t>HZS Královohradeckého kraje</t>
  </si>
  <si>
    <t>Policejního prezídia</t>
  </si>
  <si>
    <t>Správa P ČR</t>
  </si>
  <si>
    <t>Pozn.: Ve sloupci  5 je uvedeno celkové čerpání ve výši 114 301 073,35 Kč včetně čerpání 15 835 000 Kč v rámci projektu CZ 01 09.03 - Koordinace činností územně samosprávných celků na krajské a obecní úrovni, které nejsou součástí specifického dílčího ukazatele - Výdaje ze státního rozpočtu na financování společných programů EU a ČR (98 466  tis. Kč).</t>
  </si>
  <si>
    <t>Čerpání celkem zahrnuje mimorozpočtové zdroje a převod do rezervního fondu za rok 2004.</t>
  </si>
  <si>
    <t xml:space="preserve">Čerpání celkem zahrnuje mimorozpočtové zdroje a převod do rezervního fondu ze rok 2004. </t>
  </si>
  <si>
    <t>Čerpání celkem zahrnuje použití mimorozpočtových zdrojů a převod do rezervního fondu za rok 2004.</t>
  </si>
  <si>
    <t>Pozn.: Do čerpání není zahrnuta částka 9 881 tis. Kč, tj. finanční prostředky, o které bylo OSS povoleno překročení rozpočtu a byly převedeny zpět do RF.</t>
  </si>
  <si>
    <t>V roce 1997 byl rozpočet na základě "balíčků" snížen o 2.703.689 tis.Kč (z toho investice o 998.251 tis.Kč) - usnesení vlády č. 229/2003 a 356/2003.</t>
  </si>
  <si>
    <t>HDP v běžných cenách</t>
  </si>
  <si>
    <t>Podíl celkových výdajů na HDP</t>
  </si>
  <si>
    <t>Od 1.1.2001 jsou hasiči příslušníky HZS ve služebním poměru podle zákona č. 186/1992 Sb.</t>
  </si>
  <si>
    <t>Od 1.7.2004 byla zřízena Finanční policie delimitací z Ministerstva financí - 255 pracovních míst.</t>
  </si>
  <si>
    <t>*)</t>
  </si>
  <si>
    <t>*) Ve finančních prostředcích na účtě 5936 jsou zahrnuty NIV vázané k IP, individuálně posuzované výdaje i systémově určené výdaje.</t>
  </si>
  <si>
    <t xml:space="preserve">Výdaje účelově určené na financování programů reprodukce majetku </t>
  </si>
  <si>
    <t>Ev. číslo</t>
  </si>
  <si>
    <t>Název akce</t>
  </si>
  <si>
    <t>investor</t>
  </si>
  <si>
    <t>2140114001</t>
  </si>
  <si>
    <t>CZ030505 Obměna rezortního systému elektronické pošty</t>
  </si>
  <si>
    <t>2140114002</t>
  </si>
  <si>
    <t>CZ030505 Obměna RRL</t>
  </si>
  <si>
    <t>PBX Kutná Hora</t>
  </si>
  <si>
    <t>2140114004</t>
  </si>
  <si>
    <t>PBX Kapucínská</t>
  </si>
  <si>
    <t>2140114005</t>
  </si>
  <si>
    <t>PBX Pelhřimov - dostavba na plánovanou kapacitu</t>
  </si>
  <si>
    <t>2140114006</t>
  </si>
  <si>
    <t>Datová síť ZÚ PČR</t>
  </si>
  <si>
    <t>2140114007</t>
  </si>
  <si>
    <t>Mobilní přístup k IP</t>
  </si>
  <si>
    <t>2140114008</t>
  </si>
  <si>
    <t>Vybavení základních útvarů PČR přenosovou FR technologií</t>
  </si>
  <si>
    <t>2140114009</t>
  </si>
  <si>
    <t>Upgrade sitě</t>
  </si>
  <si>
    <t>2140114010</t>
  </si>
  <si>
    <t>Regionálnní uzly dohledu II. etapa</t>
  </si>
  <si>
    <t>Napojení objektu Svojšice</t>
  </si>
  <si>
    <t>2140114012</t>
  </si>
  <si>
    <t>Rozšíření Help Desk</t>
  </si>
  <si>
    <t>Stavební připravenost Zlín</t>
  </si>
  <si>
    <t>2140114014</t>
  </si>
  <si>
    <t>CZ020702 SIS VT pro přístup do NSIS</t>
  </si>
  <si>
    <t>2140114015</t>
  </si>
  <si>
    <t>SIS Výstavba kanceláře SIRENE</t>
  </si>
  <si>
    <t>2140114016</t>
  </si>
  <si>
    <t>SIS Přechod na Windows 2000 Active directory</t>
  </si>
  <si>
    <t>2140114017</t>
  </si>
  <si>
    <t>CZ020702 SIS Technická kopie</t>
  </si>
  <si>
    <t>2140114018</t>
  </si>
  <si>
    <t>CZ981002 ŘLZ Počítačové obnova a provozování ICT systému řízení MV</t>
  </si>
  <si>
    <t>2140114019</t>
  </si>
  <si>
    <t>Obnova výpočetní techniky přepínač LAN pro sítě v  gesci OKIS</t>
  </si>
  <si>
    <t>2140114020</t>
  </si>
  <si>
    <t>Obnova výpočetní techniky dodání serverů pro sitě v gesci OKIS</t>
  </si>
  <si>
    <t>2140114021</t>
  </si>
  <si>
    <t>Obnova výpočetní techniky datové tiskárny pro sítě v gesci OKIS</t>
  </si>
  <si>
    <t>2140114023</t>
  </si>
  <si>
    <t>Obnova výpočetní techniky testery a konektivita pro sítě v gesci OKIS</t>
  </si>
  <si>
    <t>2140114024</t>
  </si>
  <si>
    <t>Obnova výpočetní techniky záložní napájecí zdroje pro VPT MV</t>
  </si>
  <si>
    <t>2140114025</t>
  </si>
  <si>
    <t>Obnova výpočetní techniky výkonné PC pro správu sítí v gesci OKIS</t>
  </si>
  <si>
    <t>2140114026</t>
  </si>
  <si>
    <t>MVP Modernizace datových sítí</t>
  </si>
  <si>
    <t>MVP projekt přeshraničního spojení</t>
  </si>
  <si>
    <t>2140114028</t>
  </si>
  <si>
    <t>MVP Modernizace datové a komunikační techniky</t>
  </si>
  <si>
    <t>2140114029</t>
  </si>
  <si>
    <t>MVP Nákup VPT pro útvary SCPP</t>
  </si>
  <si>
    <t>2140114030</t>
  </si>
  <si>
    <t>MVP SW vybavení pro útvary SCPP</t>
  </si>
  <si>
    <t>2140114031</t>
  </si>
  <si>
    <t>MVP Vybavení pracovišť MVP</t>
  </si>
  <si>
    <t>2140114032</t>
  </si>
  <si>
    <t>MVP Vybavení opracovišť Form File</t>
  </si>
  <si>
    <t>2140114033</t>
  </si>
  <si>
    <t>MVP Upgrade VT</t>
  </si>
  <si>
    <t>2140114034</t>
  </si>
  <si>
    <t>MVP Upgrade serverů IBM</t>
  </si>
  <si>
    <t>2140114035</t>
  </si>
  <si>
    <t>MVP  Modelová kancelář VISION</t>
  </si>
  <si>
    <t>MVP  Projekt VISION</t>
  </si>
  <si>
    <t>MVP Projekt FADO EU</t>
  </si>
  <si>
    <t>2140114038</t>
  </si>
  <si>
    <t>MVP Vybavení pracovišť FADO</t>
  </si>
  <si>
    <t>2140114039</t>
  </si>
  <si>
    <t>MVP Implementace a rozvoj CIS</t>
  </si>
  <si>
    <t>2140114040</t>
  </si>
  <si>
    <t>MVP Aplikace pro přístup k CIS</t>
  </si>
  <si>
    <t>2140114041</t>
  </si>
  <si>
    <t>UTS Stacionární PC sestavy pro zpracování UTS</t>
  </si>
  <si>
    <t>2140114042</t>
  </si>
  <si>
    <t>UTS Nákup a zavádění IP kryptoprostředků</t>
  </si>
  <si>
    <t>2140114043</t>
  </si>
  <si>
    <t>UTS Obměna technologie v IS Blokace</t>
  </si>
  <si>
    <t>2140114044</t>
  </si>
  <si>
    <t>UTS Pracoviště pro zpracování videa</t>
  </si>
  <si>
    <t>2140114045</t>
  </si>
  <si>
    <t>Projekt PEGAS u HZS ČR</t>
  </si>
  <si>
    <t>2140114046</t>
  </si>
  <si>
    <t>PC pro útvary PČR</t>
  </si>
  <si>
    <t>SOA Litoměřice, pobočka Děčín, Zbrojnická 14/1 - Rekonstrukce plynové kotelny</t>
  </si>
  <si>
    <t>2140324007</t>
  </si>
  <si>
    <t>Zasíťování SOA Litoměřice včetně SOkA</t>
  </si>
  <si>
    <t>Přestavba bytu na depozitář a kanceláře</t>
  </si>
  <si>
    <t>2140324009</t>
  </si>
  <si>
    <t>Lokální počítačová síť-Jeseník</t>
  </si>
  <si>
    <t>2140324010</t>
  </si>
  <si>
    <t>MZA Brno - výkup pozemku a zpracování projektové dokumentace pro územní a stavební řízení</t>
  </si>
  <si>
    <t>2140324011</t>
  </si>
  <si>
    <t>SOkA Příbram, E.Beneše 337 - přístavba garáže</t>
  </si>
  <si>
    <t>2140324012</t>
  </si>
  <si>
    <t>SOA Zámrsk - Přestavba nebytových prostor na fotoateliér</t>
  </si>
  <si>
    <t>2140324013</t>
  </si>
  <si>
    <t>SOkA Břeclav Mikulov, Pavlovská 2 - EZS</t>
  </si>
  <si>
    <t>2140324014</t>
  </si>
  <si>
    <t>Připojení EPS a EZS na PCO HZS a PCO PČR</t>
  </si>
  <si>
    <t>2140324015</t>
  </si>
  <si>
    <t>Výměna oken ve služebním bytě ŘD čp. 117</t>
  </si>
  <si>
    <t>2140324016</t>
  </si>
  <si>
    <t>SOA Zámrsk - plynofikace služebního bytu v ŘD čp. 117 Zámrsk</t>
  </si>
  <si>
    <t>214032R001</t>
  </si>
  <si>
    <t>Rezerva na financování v letech 2004-2007</t>
  </si>
  <si>
    <t>Celkem z 214032</t>
  </si>
  <si>
    <t>2140330017</t>
  </si>
  <si>
    <t>Regály do depozitáře pro SOkA Semily</t>
  </si>
  <si>
    <t>2140334001</t>
  </si>
  <si>
    <t>Dodávkové auto pro SÚA Praha</t>
  </si>
  <si>
    <t>2140334002</t>
  </si>
  <si>
    <t>Reprografická technika pro SÚA Praha</t>
  </si>
  <si>
    <t>Fototechnika pro SÚA Praha</t>
  </si>
  <si>
    <t>2140334004</t>
  </si>
  <si>
    <t>Stroje a zařízení pro archiv</t>
  </si>
  <si>
    <t>2140334005</t>
  </si>
  <si>
    <t>Automobil Škoda Fabia Combi</t>
  </si>
  <si>
    <t>2140334006</t>
  </si>
  <si>
    <t>Přístroj pro výstup mikrofilmových kopií</t>
  </si>
  <si>
    <t>2140334007</t>
  </si>
  <si>
    <t>Sněhová fréza</t>
  </si>
  <si>
    <t>2140334008</t>
  </si>
  <si>
    <t>Kopírovací stroje</t>
  </si>
  <si>
    <t>2140334010</t>
  </si>
  <si>
    <t>Osobní automobily ŠKODA FABIA COMBI</t>
  </si>
  <si>
    <t>2140334011</t>
  </si>
  <si>
    <t>Duplikační kopírka filmů</t>
  </si>
  <si>
    <t>Knižní skener</t>
  </si>
  <si>
    <t>2140334013</t>
  </si>
  <si>
    <t>Střední kapacitní kopírka</t>
  </si>
  <si>
    <t>2140334015</t>
  </si>
  <si>
    <t>2140334016</t>
  </si>
  <si>
    <t>Fototechnika</t>
  </si>
  <si>
    <t xml:space="preserve">Řezací stroj </t>
  </si>
  <si>
    <t>2140334018</t>
  </si>
  <si>
    <t>Nákladní automobil do 3,5 t</t>
  </si>
  <si>
    <t>2140334019</t>
  </si>
  <si>
    <t>Kopírovací technika</t>
  </si>
  <si>
    <t xml:space="preserve">Čtecí přístroje </t>
  </si>
  <si>
    <t>2140334021</t>
  </si>
  <si>
    <t>Digitální knižní skener</t>
  </si>
  <si>
    <t xml:space="preserve">Kopírka </t>
  </si>
  <si>
    <t>Čtecí přístroj</t>
  </si>
  <si>
    <t>Osobní vozidlo</t>
  </si>
  <si>
    <t>Sloupový stativ</t>
  </si>
  <si>
    <t>2140334026</t>
  </si>
  <si>
    <t>Přístroje do konzervační dílny</t>
  </si>
  <si>
    <t>2140334027</t>
  </si>
  <si>
    <t>Osobní automobil - I</t>
  </si>
  <si>
    <t>2140334028</t>
  </si>
  <si>
    <t>Osobní automobil pro SOkA Kroměříž</t>
  </si>
  <si>
    <t>2140334029</t>
  </si>
  <si>
    <t>Osobní automobil pro SOkA Hodonín</t>
  </si>
  <si>
    <t>2140334030</t>
  </si>
  <si>
    <t>Osobní automobil - II</t>
  </si>
  <si>
    <t>2140334031</t>
  </si>
  <si>
    <t>Osobní automobil pro SOkA Jihlava</t>
  </si>
  <si>
    <t>2140334032</t>
  </si>
  <si>
    <t>Fototechnika - čtecí přístroje</t>
  </si>
  <si>
    <t>2140334033</t>
  </si>
  <si>
    <t>Reprografická technika - kopírka pro SOkA Žďár nad Sázavou</t>
  </si>
  <si>
    <t>2140334034</t>
  </si>
  <si>
    <t>Reprografická technika - kopírka pro SOkA Uherské Hradiště</t>
  </si>
  <si>
    <t>2140334035</t>
  </si>
  <si>
    <t>Nerezové vany na fotografické procesy</t>
  </si>
  <si>
    <t>2140334037</t>
  </si>
  <si>
    <t>Reprografická technika - kopírka pro SOkA Blansko</t>
  </si>
  <si>
    <t>2140334038</t>
  </si>
  <si>
    <t>Čtecí přístroje</t>
  </si>
  <si>
    <t>Digitální fotoaparát</t>
  </si>
  <si>
    <t>2140334040</t>
  </si>
  <si>
    <t>2140334041</t>
  </si>
  <si>
    <t>Regálová technika</t>
  </si>
  <si>
    <t>2140334042</t>
  </si>
  <si>
    <t>2140334043</t>
  </si>
  <si>
    <t>Mikrofilmová kamera</t>
  </si>
  <si>
    <t>2140334044</t>
  </si>
  <si>
    <t>Nákup archivních regálů pro SOkA Č.Krumlov</t>
  </si>
  <si>
    <t>2140334045</t>
  </si>
  <si>
    <t>Nákup archivních regálů pro SOkA Č.Budějovice</t>
  </si>
  <si>
    <t>2140334046</t>
  </si>
  <si>
    <t>Zařízení průmyslové televize pro badatelnu archivu</t>
  </si>
  <si>
    <t>2140334047</t>
  </si>
  <si>
    <t>Řezačka papíru</t>
  </si>
  <si>
    <t>2140334048</t>
  </si>
  <si>
    <t>Mikrofilmová kopírka pro SOkA Náchod</t>
  </si>
  <si>
    <t>2140334049</t>
  </si>
  <si>
    <t>Traktorová sekačka trávy</t>
  </si>
  <si>
    <t>2140334050</t>
  </si>
  <si>
    <t>Mikrofilmový skener</t>
  </si>
  <si>
    <t>2140334051</t>
  </si>
  <si>
    <t>Nákup a instalace regálů pro Státní  okresní archiv v Chomutově</t>
  </si>
  <si>
    <t>2140334052</t>
  </si>
  <si>
    <t>Zařízení průmyslové televize pro badatelnu archivu - SOkA Písek</t>
  </si>
  <si>
    <t>2140334053</t>
  </si>
  <si>
    <t>Zařízení ke kopírování filmů</t>
  </si>
  <si>
    <t>2140334054</t>
  </si>
  <si>
    <t>Regálová technika pro SOkA Litoměřice se sídlem v Lovosicích</t>
  </si>
  <si>
    <t>2140334055</t>
  </si>
  <si>
    <t>Bezpečnostní skříň na hořlaviny</t>
  </si>
  <si>
    <t>Celkem z 214033</t>
  </si>
  <si>
    <t>2140380001</t>
  </si>
  <si>
    <t>SOkA Litoměřice v Lovosicích - dostavba a rekonstrukce</t>
  </si>
  <si>
    <t>Celkem z 214038</t>
  </si>
  <si>
    <t>2140394001</t>
  </si>
  <si>
    <t>Zpracování energetického auditu objektu SOkA Česká Lípa</t>
  </si>
  <si>
    <t>2140394002</t>
  </si>
  <si>
    <t>Zpracování energetického auditu objektu SOkA Liberec</t>
  </si>
  <si>
    <t>Zpracování energetického auditu objektu SOkA Karlovy Vary</t>
  </si>
  <si>
    <t>2140394004</t>
  </si>
  <si>
    <t>Zpracování energetického auditu SOkA Klatovy</t>
  </si>
  <si>
    <t>Zpracování energetického auditu SOkA Cheb</t>
  </si>
  <si>
    <t>Zpracování energetického auditu SOA Plzeň, pracoviště Žlutice</t>
  </si>
  <si>
    <t>2140394007</t>
  </si>
  <si>
    <t>Zpracování energetického auditu objektu ZAO-Státní okresní archiv v Karviné</t>
  </si>
  <si>
    <t>2140394008</t>
  </si>
  <si>
    <t>Zpracování energetického auditu objektu ZAO-Státní okresní archiv v Jeseníku</t>
  </si>
  <si>
    <t>2140394009</t>
  </si>
  <si>
    <t>Zpracování energetického auditu objektu ZAO-Státní okresní archiv ve Frýdku-Místku</t>
  </si>
  <si>
    <t>Zpracování energetického auditu SOkA Strakonice</t>
  </si>
  <si>
    <t>2140394011</t>
  </si>
  <si>
    <t>Zpracování energetického auditu areálu SOkA Český Krumlov</t>
  </si>
  <si>
    <t>2140394012</t>
  </si>
  <si>
    <t>Zpracování energetického auditu areálu SOkA Písek</t>
  </si>
  <si>
    <t>2140394013</t>
  </si>
  <si>
    <t>Zpracování energetického auditu objektu SOkA Hradec Králové</t>
  </si>
  <si>
    <t>2140394014</t>
  </si>
  <si>
    <t>SOkA Beroun - energetický audit</t>
  </si>
  <si>
    <t>2140394015</t>
  </si>
  <si>
    <t>SOkA Benešov - energetický audit</t>
  </si>
  <si>
    <t>2140394016</t>
  </si>
  <si>
    <t>SOkA Mělník - energetický audit</t>
  </si>
  <si>
    <t>2140394017</t>
  </si>
  <si>
    <t>Zpracování energetického auditu SOkA Brno-venkov se sídlem v Rajhradě</t>
  </si>
  <si>
    <t>2140394018</t>
  </si>
  <si>
    <t>Zpracování energetického auditu SOkA Znojmo</t>
  </si>
  <si>
    <t>2140394019</t>
  </si>
  <si>
    <t>Zpracování energetického auditu SOkA v Havlíčkově Brodě</t>
  </si>
  <si>
    <t>2140394020</t>
  </si>
  <si>
    <t>Zpracování energetického auditu SOkA Břeclav se sídlem v Mikulově</t>
  </si>
  <si>
    <t>2140394021</t>
  </si>
  <si>
    <t>Zpracování energetického auditu SOkA Kroměříž</t>
  </si>
  <si>
    <t>2140394022</t>
  </si>
  <si>
    <t>Zpracování energetického auditu SOkA Tábor</t>
  </si>
  <si>
    <t>2140394023</t>
  </si>
  <si>
    <t>Zpracování energetického auditu stávajících objektů SOkA Náchod</t>
  </si>
  <si>
    <t>2140394024</t>
  </si>
  <si>
    <t>Zpracování energetického auditu objektu ZAO - Státní okresní archiv v Prostějově</t>
  </si>
  <si>
    <t>2140394025</t>
  </si>
  <si>
    <t>Zpracování energetického auditu objektu SOkA Most</t>
  </si>
  <si>
    <t>Osazení chybějících termoregulačních ventilů v objektech SOA v Plzni</t>
  </si>
  <si>
    <t>2140394027</t>
  </si>
  <si>
    <t>Osazení chybějících termoregulačních ventilů v objektech SOA Litoměřice</t>
  </si>
  <si>
    <t>Celkem z 214039</t>
  </si>
  <si>
    <t>Celkem z 214030</t>
  </si>
  <si>
    <t>2140414001</t>
  </si>
  <si>
    <t>Program elektronického zpracování informací, II. etapa</t>
  </si>
  <si>
    <t>2140414002</t>
  </si>
  <si>
    <t>Ústředna EZS PoS Zastávka</t>
  </si>
  <si>
    <t>Celkem z 214041</t>
  </si>
  <si>
    <t>2140420001</t>
  </si>
  <si>
    <t>AZ Červený Újezd - rekonstrukce ČOV</t>
  </si>
  <si>
    <t>2140424001</t>
  </si>
  <si>
    <t>2140424002</t>
  </si>
  <si>
    <t>Kamerový systém, azylová zařízení Havířov, Bělá, Červený Újezd</t>
  </si>
  <si>
    <t>2140424003</t>
  </si>
  <si>
    <t>Zateplení štítové stěny PoS Havířov</t>
  </si>
  <si>
    <t>2140424004</t>
  </si>
  <si>
    <t>Stavební úpravy obj. č. 06 AZ Červený Újezd</t>
  </si>
  <si>
    <t>2140424005</t>
  </si>
  <si>
    <t>Dětské hřiště u obj.č.01; hřiště pro míčové hry AZ Vyšní Lhoty</t>
  </si>
  <si>
    <t>2140424006</t>
  </si>
  <si>
    <t>Přístavba nákladního výtahu v obj. č. 05 kuchyně AZ Kostelec nad Orlicí</t>
  </si>
  <si>
    <t>2140424007</t>
  </si>
  <si>
    <t>Přístřešek nad vstupem do správní budovy AZ Kostelec nad Orlicí</t>
  </si>
  <si>
    <t>2140424008</t>
  </si>
  <si>
    <t>Rekonstrukce kuchyně AZ Bělá</t>
  </si>
  <si>
    <t>2140424009</t>
  </si>
  <si>
    <t>PoS Kostelec nad Orlicí - rekonstrukce obj. č. 10</t>
  </si>
  <si>
    <t>2140424010</t>
  </si>
  <si>
    <t>Oplocení a úpravy parcely č. 2580/77 AZ Havířov - Dolní Suchá</t>
  </si>
  <si>
    <t>2140424011</t>
  </si>
  <si>
    <t>Kartové systémy, AZ Zastávka, Bělá, Červený Újezd, Kostelec nad Orlicí</t>
  </si>
  <si>
    <t>2140424012</t>
  </si>
  <si>
    <t>PoS Bělá - plynofikace areálu</t>
  </si>
  <si>
    <t>2140424013</t>
  </si>
  <si>
    <t>PoS Bělá - Jezová - vstup pro chráněné bydlení obj. 02, ubytovna A</t>
  </si>
  <si>
    <t>2140424014</t>
  </si>
  <si>
    <t>Barevná síťová tiskárna, PrS Vyšní Lhoty</t>
  </si>
  <si>
    <t>2140424015</t>
  </si>
  <si>
    <t>Doplnění elektronické ostrahy oplocení PrS Vyšní Lhoty</t>
  </si>
  <si>
    <t>2140424016</t>
  </si>
  <si>
    <t xml:space="preserve"> Plynofikace AZ Bělá - Jezová</t>
  </si>
  <si>
    <t>Město Bělá pod Bezdězem</t>
  </si>
  <si>
    <t>2140424017</t>
  </si>
  <si>
    <t>PS Vyšní Lhoty - přístavba budovy č. 06</t>
  </si>
  <si>
    <t>Celkem z 214042</t>
  </si>
  <si>
    <t>2140434001</t>
  </si>
  <si>
    <t>LÚ TOSCA - rekonstrukce stravovacího provozu v LD Thermie</t>
  </si>
  <si>
    <t>Celkem z 214043</t>
  </si>
  <si>
    <t>Rekonstrukce technologických zařízení stravovacích provozů ZS MV - provozovna "LETNÁ"</t>
  </si>
  <si>
    <t>Rekonstrukce technologických zařízení stravovacích provozů ZS MV - provozovna "STŘELNIČNÁ"</t>
  </si>
  <si>
    <t>Rekonstrukce technologických zařízení stravovacích provozů ZS MV - provozovna "PŘÍPOTOČNÍ"</t>
  </si>
  <si>
    <t>Rekonstrukce technologických zařízení stravovacích provozů ZS MV - provozovna "CENTROTEX"</t>
  </si>
  <si>
    <t>2140444005</t>
  </si>
  <si>
    <t>Rekonstrukce 1. patra budova "A" Centrotex</t>
  </si>
  <si>
    <t>2140444006</t>
  </si>
  <si>
    <t>Rekonstrukce stravovacího provozu Centrotex</t>
  </si>
  <si>
    <t>Celkem z 214044</t>
  </si>
  <si>
    <t>2140464001</t>
  </si>
  <si>
    <t>Vybudování střešních nástaveb bytových objektů v Modřanech, ulice Na Cikorce, Lysinská</t>
  </si>
  <si>
    <t>Celkem z 214046</t>
  </si>
  <si>
    <t>Bělá Jezová ubytovna P - odstraňování závad dle EA</t>
  </si>
  <si>
    <t xml:space="preserve">Vyšní Lhoty PrS - odstraňování závad dle EA </t>
  </si>
  <si>
    <t>Havířov PoS a Červený Újezd PoS - odstraňování závad dle EA</t>
  </si>
  <si>
    <t>Zastávka u Brna PoS - odstraňování závad dle EA</t>
  </si>
  <si>
    <t xml:space="preserve">Kostelec nad Orlicí PoS - odstraňování závad dle EA </t>
  </si>
  <si>
    <t>Červený Újezd PrS a PoS - odstraňování závad dle EA</t>
  </si>
  <si>
    <t>2140494007</t>
  </si>
  <si>
    <t>Provozní jednotka LÚ TOSCA Karlovy Vary - realizace závěrů z energetického auditu</t>
  </si>
  <si>
    <t>Odstraňování závad dle EA</t>
  </si>
  <si>
    <t>2140494009</t>
  </si>
  <si>
    <t>2140494011</t>
  </si>
  <si>
    <t>Instalace termostatických ventilů a hlavic, azylová zařízení SUZ MV</t>
  </si>
  <si>
    <t>2140494012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</si>
</sst>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\ @"/>
    <numFmt numFmtId="166" formatCode="dd/mm/yy"/>
    <numFmt numFmtId="167" formatCode="#,##0_ ;[Red]\-#,##0\ "/>
    <numFmt numFmtId="168" formatCode="#,##0.00_ ;[Red]\-#,##0.00\ 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15">
    <font>
      <sz val="10"/>
      <name val="Arial CE"/>
      <family val="0"/>
    </font>
    <font>
      <b/>
      <sz val="18"/>
      <color indexed="39"/>
      <name val="Times New Roman CE"/>
      <family val="1"/>
    </font>
    <font>
      <sz val="18"/>
      <color indexed="39"/>
      <name val="Times New Roman CE"/>
      <family val="1"/>
    </font>
    <font>
      <sz val="20"/>
      <color indexed="39"/>
      <name val="Times New Roman CE"/>
      <family val="1"/>
    </font>
    <font>
      <sz val="11"/>
      <color indexed="39"/>
      <name val="Times New Roman CE"/>
      <family val="1"/>
    </font>
    <font>
      <u val="single"/>
      <sz val="18"/>
      <color indexed="39"/>
      <name val="Times New Roman CE"/>
      <family val="1"/>
    </font>
    <font>
      <u val="single"/>
      <sz val="20"/>
      <color indexed="39"/>
      <name val="Times New Roman CE"/>
      <family val="1"/>
    </font>
    <font>
      <b/>
      <sz val="18"/>
      <name val="AmphionCondensedExtrabold"/>
      <family val="0"/>
    </font>
    <font>
      <sz val="18"/>
      <name val="AmphionCondensedExtrabold"/>
      <family val="0"/>
    </font>
    <font>
      <u val="single"/>
      <sz val="18"/>
      <name val="AmphionCondensedExtrabold"/>
      <family val="0"/>
    </font>
    <font>
      <sz val="11"/>
      <name val="AmphionCondensedExtrabold"/>
      <family val="0"/>
    </font>
    <font>
      <sz val="14"/>
      <name val="AmphionCondensedExtrabold"/>
      <family val="0"/>
    </font>
    <font>
      <u val="single"/>
      <sz val="14"/>
      <name val="AmphionCondensedExtrabold"/>
      <family val="0"/>
    </font>
    <font>
      <sz val="10"/>
      <name val="AmphionCondensedExtrabold"/>
      <family val="0"/>
    </font>
    <font>
      <sz val="22"/>
      <name val="Times New Roman CE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8"/>
      <name val="Arial CE"/>
      <family val="0"/>
    </font>
    <font>
      <b/>
      <sz val="14"/>
      <color indexed="12"/>
      <name val="Times New Roman CE"/>
      <family val="1"/>
    </font>
    <font>
      <b/>
      <sz val="11"/>
      <color indexed="21"/>
      <name val="Arial CE"/>
      <family val="2"/>
    </font>
    <font>
      <b/>
      <sz val="10"/>
      <color indexed="21"/>
      <name val="Arial CE"/>
      <family val="2"/>
    </font>
    <font>
      <b/>
      <sz val="11"/>
      <color indexed="61"/>
      <name val="Arial CE"/>
      <family val="0"/>
    </font>
    <font>
      <b/>
      <sz val="10"/>
      <color indexed="61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color indexed="16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AmphionCondensedExtrabold"/>
      <family val="0"/>
    </font>
    <font>
      <b/>
      <sz val="12"/>
      <color indexed="12"/>
      <name val="Times New Roman CE"/>
      <family val="1"/>
    </font>
    <font>
      <b/>
      <sz val="12"/>
      <name val="Bookman Old Style CE"/>
      <family val="1"/>
    </font>
    <font>
      <b/>
      <sz val="11"/>
      <name val="AmphionCondensedExtrabold"/>
      <family val="0"/>
    </font>
    <font>
      <b/>
      <sz val="11"/>
      <color indexed="16"/>
      <name val="AmphionCondensedExtrabold"/>
      <family val="0"/>
    </font>
    <font>
      <b/>
      <sz val="11"/>
      <color indexed="8"/>
      <name val="AmphionCondensedExtrabold"/>
      <family val="0"/>
    </font>
    <font>
      <b/>
      <sz val="11"/>
      <name val="Century Schoolbook CE"/>
      <family val="0"/>
    </font>
    <font>
      <sz val="11"/>
      <name val="Bookman Old Style CE"/>
      <family val="0"/>
    </font>
    <font>
      <sz val="11"/>
      <color indexed="21"/>
      <name val="Arial CE"/>
      <family val="2"/>
    </font>
    <font>
      <sz val="10"/>
      <color indexed="21"/>
      <name val="Arial CE"/>
      <family val="2"/>
    </font>
    <font>
      <b/>
      <sz val="12"/>
      <color indexed="18"/>
      <name val="Times New Roman CE"/>
      <family val="1"/>
    </font>
    <font>
      <sz val="10"/>
      <color indexed="18"/>
      <name val="Times New Roman CE"/>
      <family val="1"/>
    </font>
    <font>
      <b/>
      <sz val="10"/>
      <color indexed="18"/>
      <name val="Times New Roman CE"/>
      <family val="1"/>
    </font>
    <font>
      <b/>
      <sz val="11"/>
      <color indexed="37"/>
      <name val="Times New Roman CE"/>
      <family val="1"/>
    </font>
    <font>
      <sz val="10"/>
      <color indexed="37"/>
      <name val="Times New Roman CE"/>
      <family val="1"/>
    </font>
    <font>
      <b/>
      <sz val="12"/>
      <color indexed="37"/>
      <name val="Times New Roman CE"/>
      <family val="1"/>
    </font>
    <font>
      <b/>
      <sz val="11"/>
      <color indexed="12"/>
      <name val="Times New Roman CE"/>
      <family val="1"/>
    </font>
    <font>
      <b/>
      <sz val="14"/>
      <color indexed="39"/>
      <name val="Times New Roman CE"/>
      <family val="1"/>
    </font>
    <font>
      <b/>
      <sz val="10"/>
      <color indexed="39"/>
      <name val="Times New Roman CE"/>
      <family val="1"/>
    </font>
    <font>
      <b/>
      <sz val="12"/>
      <color indexed="39"/>
      <name val="Times New Roman CE"/>
      <family val="1"/>
    </font>
    <font>
      <i/>
      <sz val="10"/>
      <name val="Times New Roman CE"/>
      <family val="1"/>
    </font>
    <font>
      <b/>
      <sz val="16"/>
      <color indexed="12"/>
      <name val="Times New Roman CE"/>
      <family val="1"/>
    </font>
    <font>
      <b/>
      <sz val="10"/>
      <color indexed="32"/>
      <name val="Times New Roman CE"/>
      <family val="1"/>
    </font>
    <font>
      <sz val="10"/>
      <color indexed="16"/>
      <name val="Times New Roman CE"/>
      <family val="1"/>
    </font>
    <font>
      <sz val="12"/>
      <name val="Times New Roman CE"/>
      <family val="1"/>
    </font>
    <font>
      <b/>
      <sz val="10"/>
      <color indexed="25"/>
      <name val="Times New Roman CE"/>
      <family val="1"/>
    </font>
    <font>
      <sz val="10"/>
      <color indexed="25"/>
      <name val="Times New Roman CE"/>
      <family val="1"/>
    </font>
    <font>
      <b/>
      <sz val="9"/>
      <color indexed="25"/>
      <name val="Times New Roman CE"/>
      <family val="1"/>
    </font>
    <font>
      <sz val="10"/>
      <color indexed="16"/>
      <name val="Arial CE"/>
      <family val="0"/>
    </font>
    <font>
      <u val="single"/>
      <sz val="10"/>
      <name val="Arial CE"/>
      <family val="2"/>
    </font>
    <font>
      <sz val="10"/>
      <name val="Arial Narrow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mphionCondensedExtrabold"/>
      <family val="0"/>
    </font>
    <font>
      <sz val="11"/>
      <name val="Arial Narrow CE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1"/>
      <name val="Times New Roman CE"/>
      <family val="1"/>
    </font>
    <font>
      <sz val="14"/>
      <name val="Times New Roman"/>
      <family val="1"/>
    </font>
    <font>
      <sz val="10"/>
      <name val="Arial"/>
      <family val="0"/>
    </font>
    <font>
      <sz val="10.5"/>
      <name val="Times New Roman CE"/>
      <family val="1"/>
    </font>
    <font>
      <b/>
      <sz val="8"/>
      <name val="Arial CE"/>
      <family val="0"/>
    </font>
    <font>
      <sz val="8"/>
      <name val="Arial CE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0"/>
      <name val="Times New Roman CE"/>
      <family val="1"/>
    </font>
    <font>
      <sz val="9"/>
      <name val="Times New Roman CE"/>
      <family val="1"/>
    </font>
    <font>
      <b/>
      <i/>
      <sz val="11"/>
      <name val="Times New Roman CE"/>
      <family val="0"/>
    </font>
    <font>
      <sz val="10"/>
      <name val="Times New Roman"/>
      <family val="1"/>
    </font>
    <font>
      <b/>
      <i/>
      <sz val="10"/>
      <name val="Arial CE"/>
      <family val="2"/>
    </font>
    <font>
      <b/>
      <sz val="16"/>
      <color indexed="10"/>
      <name val="Times New Roman CE"/>
      <family val="1"/>
    </font>
    <font>
      <b/>
      <u val="single"/>
      <sz val="14"/>
      <color indexed="10"/>
      <name val="Times New Roman CE"/>
      <family val="1"/>
    </font>
    <font>
      <b/>
      <sz val="9"/>
      <name val="Times New Roman CE"/>
      <family val="1"/>
    </font>
    <font>
      <b/>
      <sz val="14"/>
      <color indexed="10"/>
      <name val="Times New Roman CE"/>
      <family val="1"/>
    </font>
    <font>
      <sz val="12"/>
      <color indexed="12"/>
      <name val="Times New Roman CE"/>
      <family val="1"/>
    </font>
    <font>
      <sz val="12"/>
      <color indexed="17"/>
      <name val="Times New Roman CE"/>
      <family val="1"/>
    </font>
    <font>
      <sz val="12"/>
      <color indexed="14"/>
      <name val="Times New Roman CE"/>
      <family val="1"/>
    </font>
    <font>
      <sz val="20"/>
      <name val="Arial CE"/>
      <family val="2"/>
    </font>
    <font>
      <b/>
      <sz val="24"/>
      <name val="Arial CE"/>
      <family val="2"/>
    </font>
    <font>
      <sz val="18"/>
      <name val="Arial CE"/>
      <family val="2"/>
    </font>
    <font>
      <sz val="24"/>
      <name val="Arial CE"/>
      <family val="2"/>
    </font>
    <font>
      <sz val="10"/>
      <color indexed="8"/>
      <name val="Arial CE"/>
      <family val="2"/>
    </font>
    <font>
      <sz val="14"/>
      <name val="Times New Roman CE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sz val="12"/>
      <color indexed="8"/>
      <name val="Times New Roman CE"/>
      <family val="1"/>
    </font>
    <font>
      <sz val="16"/>
      <name val="Times New Roman CE"/>
      <family val="1"/>
    </font>
    <font>
      <sz val="20"/>
      <name val="Times New Roman CE"/>
      <family val="1"/>
    </font>
    <font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Arial CE"/>
      <family val="2"/>
    </font>
    <font>
      <b/>
      <sz val="13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2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 style="hair"/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</cellStyleXfs>
  <cellXfs count="196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Continuous"/>
    </xf>
    <xf numFmtId="0" fontId="16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5" fillId="2" borderId="5" xfId="0" applyFont="1" applyFill="1" applyBorder="1" applyAlignment="1">
      <alignment horizontal="centerContinuous"/>
    </xf>
    <xf numFmtId="0" fontId="16" fillId="2" borderId="6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7" fillId="0" borderId="5" xfId="0" applyFont="1" applyBorder="1" applyAlignment="1">
      <alignment horizontal="centerContinuous"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0" fillId="3" borderId="8" xfId="0" applyFont="1" applyFill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0" fillId="0" borderId="8" xfId="0" applyBorder="1" applyAlignment="1">
      <alignment/>
    </xf>
    <xf numFmtId="0" fontId="19" fillId="4" borderId="1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10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20" fillId="4" borderId="9" xfId="0" applyFont="1" applyFill="1" applyBorder="1" applyAlignment="1">
      <alignment horizontal="centerContinuous"/>
    </xf>
    <xf numFmtId="0" fontId="21" fillId="4" borderId="10" xfId="0" applyFont="1" applyFill="1" applyBorder="1" applyAlignment="1">
      <alignment horizontal="centerContinuous"/>
    </xf>
    <xf numFmtId="0" fontId="22" fillId="4" borderId="1" xfId="0" applyFont="1" applyFill="1" applyBorder="1" applyAlignment="1">
      <alignment horizontal="centerContinuous"/>
    </xf>
    <xf numFmtId="0" fontId="23" fillId="4" borderId="3" xfId="0" applyFont="1" applyFill="1" applyBorder="1" applyAlignment="1">
      <alignment horizontal="centerContinuous"/>
    </xf>
    <xf numFmtId="0" fontId="24" fillId="5" borderId="1" xfId="0" applyFont="1" applyFill="1" applyBorder="1" applyAlignment="1">
      <alignment horizontal="centerContinuous" wrapText="1"/>
    </xf>
    <xf numFmtId="0" fontId="25" fillId="5" borderId="2" xfId="0" applyFont="1" applyFill="1" applyBorder="1" applyAlignment="1">
      <alignment horizontal="centerContinuous"/>
    </xf>
    <xf numFmtId="0" fontId="25" fillId="5" borderId="3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26" fillId="6" borderId="1" xfId="0" applyFont="1" applyFill="1" applyBorder="1" applyAlignment="1">
      <alignment horizontal="centerContinuous"/>
    </xf>
    <xf numFmtId="0" fontId="27" fillId="6" borderId="2" xfId="0" applyFont="1" applyFill="1" applyBorder="1" applyAlignment="1">
      <alignment horizontal="centerContinuous"/>
    </xf>
    <xf numFmtId="0" fontId="27" fillId="6" borderId="3" xfId="0" applyFont="1" applyFill="1" applyBorder="1" applyAlignment="1">
      <alignment horizontal="centerContinuous"/>
    </xf>
    <xf numFmtId="0" fontId="28" fillId="0" borderId="0" xfId="0" applyFont="1" applyAlignment="1">
      <alignment/>
    </xf>
    <xf numFmtId="0" fontId="0" fillId="3" borderId="11" xfId="0" applyFill="1" applyBorder="1" applyAlignment="1">
      <alignment/>
    </xf>
    <xf numFmtId="0" fontId="29" fillId="4" borderId="4" xfId="0" applyFont="1" applyFill="1" applyBorder="1" applyAlignment="1">
      <alignment horizontal="centerContinuous"/>
    </xf>
    <xf numFmtId="0" fontId="30" fillId="4" borderId="5" xfId="0" applyFont="1" applyFill="1" applyBorder="1" applyAlignment="1">
      <alignment horizontal="centerContinuous"/>
    </xf>
    <xf numFmtId="0" fontId="30" fillId="4" borderId="6" xfId="0" applyFont="1" applyFill="1" applyBorder="1" applyAlignment="1">
      <alignment horizontal="centerContinuous"/>
    </xf>
    <xf numFmtId="0" fontId="13" fillId="3" borderId="11" xfId="0" applyFont="1" applyFill="1" applyBorder="1" applyAlignment="1">
      <alignment/>
    </xf>
    <xf numFmtId="0" fontId="20" fillId="4" borderId="12" xfId="0" applyFont="1" applyFill="1" applyBorder="1" applyAlignment="1">
      <alignment horizontal="centerContinuous"/>
    </xf>
    <xf numFmtId="0" fontId="21" fillId="4" borderId="13" xfId="0" applyFont="1" applyFill="1" applyBorder="1" applyAlignment="1">
      <alignment horizontal="centerContinuous"/>
    </xf>
    <xf numFmtId="0" fontId="22" fillId="4" borderId="4" xfId="0" applyFont="1" applyFill="1" applyBorder="1" applyAlignment="1">
      <alignment horizontal="centerContinuous"/>
    </xf>
    <xf numFmtId="0" fontId="23" fillId="4" borderId="6" xfId="0" applyFont="1" applyFill="1" applyBorder="1" applyAlignment="1">
      <alignment horizontal="centerContinuous"/>
    </xf>
    <xf numFmtId="0" fontId="31" fillId="5" borderId="4" xfId="0" applyFont="1" applyFill="1" applyBorder="1" applyAlignment="1">
      <alignment horizontal="centerContinuous"/>
    </xf>
    <xf numFmtId="0" fontId="13" fillId="5" borderId="5" xfId="0" applyFont="1" applyFill="1" applyBorder="1" applyAlignment="1">
      <alignment horizontal="centerContinuous"/>
    </xf>
    <xf numFmtId="0" fontId="13" fillId="5" borderId="6" xfId="0" applyFont="1" applyFill="1" applyBorder="1" applyAlignment="1">
      <alignment horizontal="centerContinuous"/>
    </xf>
    <xf numFmtId="0" fontId="32" fillId="6" borderId="4" xfId="0" applyFont="1" applyFill="1" applyBorder="1" applyAlignment="1">
      <alignment horizontal="centerContinuous"/>
    </xf>
    <xf numFmtId="0" fontId="33" fillId="6" borderId="5" xfId="0" applyFont="1" applyFill="1" applyBorder="1" applyAlignment="1">
      <alignment horizontal="centerContinuous"/>
    </xf>
    <xf numFmtId="0" fontId="33" fillId="6" borderId="6" xfId="0" applyFont="1" applyFill="1" applyBorder="1" applyAlignment="1">
      <alignment horizontal="centerContinuous"/>
    </xf>
    <xf numFmtId="0" fontId="7" fillId="3" borderId="0" xfId="0" applyFont="1" applyFill="1" applyAlignment="1">
      <alignment horizontal="center"/>
    </xf>
    <xf numFmtId="0" fontId="34" fillId="2" borderId="14" xfId="0" applyFont="1" applyFill="1" applyBorder="1" applyAlignment="1">
      <alignment horizontal="centerContinuous" wrapText="1"/>
    </xf>
    <xf numFmtId="0" fontId="35" fillId="2" borderId="0" xfId="0" applyFont="1" applyFill="1" applyAlignment="1">
      <alignment horizontal="centerContinuous"/>
    </xf>
    <xf numFmtId="0" fontId="35" fillId="2" borderId="8" xfId="0" applyFon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17" fillId="3" borderId="0" xfId="0" applyFont="1" applyFill="1" applyAlignment="1">
      <alignment/>
    </xf>
    <xf numFmtId="0" fontId="36" fillId="3" borderId="16" xfId="0" applyFont="1" applyFill="1" applyBorder="1" applyAlignment="1">
      <alignment horizontal="centerContinuous"/>
    </xf>
    <xf numFmtId="0" fontId="37" fillId="3" borderId="0" xfId="0" applyFont="1" applyFill="1" applyAlignment="1">
      <alignment/>
    </xf>
    <xf numFmtId="0" fontId="17" fillId="3" borderId="16" xfId="0" applyFont="1" applyFill="1" applyBorder="1" applyAlignment="1">
      <alignment horizontal="centerContinuous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20" fillId="0" borderId="17" xfId="0" applyFont="1" applyFill="1" applyBorder="1" applyAlignment="1">
      <alignment horizontal="centerContinuous" wrapText="1"/>
    </xf>
    <xf numFmtId="0" fontId="37" fillId="0" borderId="18" xfId="0" applyFont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38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16" fillId="6" borderId="21" xfId="0" applyFont="1" applyFill="1" applyBorder="1" applyAlignment="1">
      <alignment/>
    </xf>
    <xf numFmtId="0" fontId="40" fillId="0" borderId="22" xfId="0" applyFont="1" applyBorder="1" applyAlignment="1">
      <alignment horizontal="centerContinuous"/>
    </xf>
    <xf numFmtId="0" fontId="40" fillId="0" borderId="23" xfId="0" applyFont="1" applyBorder="1" applyAlignment="1">
      <alignment horizontal="centerContinuous"/>
    </xf>
    <xf numFmtId="0" fontId="40" fillId="0" borderId="24" xfId="0" applyFont="1" applyBorder="1" applyAlignment="1">
      <alignment horizontal="centerContinuous"/>
    </xf>
    <xf numFmtId="0" fontId="16" fillId="0" borderId="8" xfId="0" applyFont="1" applyBorder="1" applyAlignment="1">
      <alignment/>
    </xf>
    <xf numFmtId="0" fontId="41" fillId="6" borderId="4" xfId="0" applyFont="1" applyFill="1" applyBorder="1" applyAlignment="1">
      <alignment/>
    </xf>
    <xf numFmtId="0" fontId="42" fillId="6" borderId="5" xfId="0" applyFont="1" applyFill="1" applyBorder="1" applyAlignment="1">
      <alignment/>
    </xf>
    <xf numFmtId="0" fontId="42" fillId="6" borderId="6" xfId="0" applyFont="1" applyFill="1" applyBorder="1" applyAlignment="1">
      <alignment/>
    </xf>
    <xf numFmtId="0" fontId="40" fillId="0" borderId="0" xfId="0" applyFont="1" applyBorder="1" applyAlignment="1">
      <alignment horizontal="centerContinuous"/>
    </xf>
    <xf numFmtId="0" fontId="40" fillId="0" borderId="8" xfId="0" applyFont="1" applyBorder="1" applyAlignment="1">
      <alignment horizontal="centerContinuous"/>
    </xf>
    <xf numFmtId="0" fontId="16" fillId="2" borderId="0" xfId="0" applyFont="1" applyFill="1" applyAlignment="1">
      <alignment horizontal="centerContinuous"/>
    </xf>
    <xf numFmtId="0" fontId="16" fillId="2" borderId="8" xfId="0" applyFont="1" applyFill="1" applyBorder="1" applyAlignment="1">
      <alignment horizontal="centerContinuous"/>
    </xf>
    <xf numFmtId="0" fontId="40" fillId="0" borderId="25" xfId="0" applyFont="1" applyBorder="1" applyAlignment="1">
      <alignment horizontal="centerContinuous"/>
    </xf>
    <xf numFmtId="0" fontId="40" fillId="0" borderId="26" xfId="0" applyFont="1" applyBorder="1" applyAlignment="1">
      <alignment horizontal="centerContinuous"/>
    </xf>
    <xf numFmtId="0" fontId="40" fillId="0" borderId="27" xfId="0" applyFont="1" applyBorder="1" applyAlignment="1">
      <alignment horizontal="centerContinuous"/>
    </xf>
    <xf numFmtId="0" fontId="43" fillId="7" borderId="0" xfId="0" applyFont="1" applyFill="1" applyBorder="1" applyAlignment="1">
      <alignment horizontal="centerContinuous"/>
    </xf>
    <xf numFmtId="0" fontId="16" fillId="7" borderId="8" xfId="0" applyFont="1" applyFill="1" applyBorder="1" applyAlignment="1">
      <alignment horizontal="centerContinuous"/>
    </xf>
    <xf numFmtId="0" fontId="16" fillId="7" borderId="0" xfId="0" applyFont="1" applyFill="1" applyBorder="1" applyAlignment="1">
      <alignment horizontal="centerContinuous"/>
    </xf>
    <xf numFmtId="0" fontId="40" fillId="0" borderId="28" xfId="0" applyFont="1" applyBorder="1" applyAlignment="1">
      <alignment horizontal="centerContinuous"/>
    </xf>
    <xf numFmtId="0" fontId="40" fillId="0" borderId="20" xfId="0" applyFont="1" applyBorder="1" applyAlignment="1">
      <alignment horizontal="centerContinuous"/>
    </xf>
    <xf numFmtId="0" fontId="25" fillId="4" borderId="1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6" borderId="5" xfId="0" applyFont="1" applyFill="1" applyBorder="1" applyAlignment="1">
      <alignment/>
    </xf>
    <xf numFmtId="0" fontId="16" fillId="6" borderId="6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29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0" fontId="24" fillId="3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30" xfId="0" applyFont="1" applyFill="1" applyBorder="1" applyAlignment="1">
      <alignment/>
    </xf>
    <xf numFmtId="0" fontId="44" fillId="3" borderId="14" xfId="0" applyFont="1" applyFill="1" applyBorder="1" applyAlignment="1">
      <alignment textRotation="255"/>
    </xf>
    <xf numFmtId="0" fontId="0" fillId="8" borderId="14" xfId="0" applyFill="1" applyBorder="1" applyAlignment="1">
      <alignment/>
    </xf>
    <xf numFmtId="0" fontId="45" fillId="0" borderId="31" xfId="0" applyFont="1" applyFill="1" applyBorder="1" applyAlignment="1">
      <alignment horizontal="centerContinuous"/>
    </xf>
    <xf numFmtId="0" fontId="46" fillId="0" borderId="32" xfId="0" applyFont="1" applyFill="1" applyBorder="1" applyAlignment="1">
      <alignment horizontal="centerContinuous"/>
    </xf>
    <xf numFmtId="0" fontId="16" fillId="0" borderId="32" xfId="0" applyFont="1" applyFill="1" applyBorder="1" applyAlignment="1">
      <alignment horizontal="centerContinuous"/>
    </xf>
    <xf numFmtId="0" fontId="16" fillId="0" borderId="33" xfId="0" applyFont="1" applyFill="1" applyBorder="1" applyAlignment="1">
      <alignment horizontal="centerContinuous"/>
    </xf>
    <xf numFmtId="0" fontId="16" fillId="8" borderId="15" xfId="0" applyFont="1" applyFill="1" applyBorder="1" applyAlignment="1">
      <alignment/>
    </xf>
    <xf numFmtId="0" fontId="44" fillId="9" borderId="34" xfId="0" applyFont="1" applyFill="1" applyBorder="1" applyAlignment="1">
      <alignment textRotation="255"/>
    </xf>
    <xf numFmtId="0" fontId="40" fillId="0" borderId="0" xfId="0" applyFont="1" applyAlignment="1">
      <alignment horizontal="centerContinuous"/>
    </xf>
    <xf numFmtId="0" fontId="46" fillId="8" borderId="0" xfId="0" applyFont="1" applyFill="1" applyAlignment="1">
      <alignment horizontal="centerContinuous"/>
    </xf>
    <xf numFmtId="0" fontId="46" fillId="8" borderId="8" xfId="0" applyFont="1" applyFill="1" applyBorder="1" applyAlignment="1">
      <alignment horizontal="centerContinuous"/>
    </xf>
    <xf numFmtId="0" fontId="16" fillId="8" borderId="0" xfId="0" applyFont="1" applyFill="1" applyAlignment="1">
      <alignment horizontal="centerContinuous"/>
    </xf>
    <xf numFmtId="0" fontId="16" fillId="8" borderId="28" xfId="0" applyFont="1" applyFill="1" applyBorder="1" applyAlignment="1">
      <alignment horizontal="centerContinuous"/>
    </xf>
    <xf numFmtId="0" fontId="44" fillId="9" borderId="35" xfId="0" applyFont="1" applyFill="1" applyBorder="1" applyAlignment="1">
      <alignment textRotation="255"/>
    </xf>
    <xf numFmtId="0" fontId="47" fillId="0" borderId="31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8" xfId="0" applyFont="1" applyBorder="1" applyAlignment="1">
      <alignment horizontal="centerContinuous"/>
    </xf>
    <xf numFmtId="0" fontId="48" fillId="0" borderId="0" xfId="0" applyFont="1" applyAlignment="1">
      <alignment/>
    </xf>
    <xf numFmtId="0" fontId="47" fillId="8" borderId="0" xfId="0" applyFont="1" applyFill="1" applyAlignment="1">
      <alignment horizontal="centerContinuous"/>
    </xf>
    <xf numFmtId="0" fontId="49" fillId="9" borderId="35" xfId="0" applyFont="1" applyFill="1" applyBorder="1" applyAlignment="1">
      <alignment textRotation="255"/>
    </xf>
    <xf numFmtId="0" fontId="50" fillId="0" borderId="22" xfId="0" applyFont="1" applyFill="1" applyBorder="1" applyAlignment="1">
      <alignment horizontal="centerContinuous"/>
    </xf>
    <xf numFmtId="0" fontId="16" fillId="0" borderId="23" xfId="0" applyFont="1" applyBorder="1" applyAlignment="1">
      <alignment horizontal="centerContinuous"/>
    </xf>
    <xf numFmtId="0" fontId="16" fillId="0" borderId="24" xfId="0" applyFont="1" applyBorder="1" applyAlignment="1">
      <alignment horizontal="centerContinuous"/>
    </xf>
    <xf numFmtId="0" fontId="51" fillId="0" borderId="36" xfId="0" applyFont="1" applyBorder="1" applyAlignment="1">
      <alignment horizontal="centerContinuous"/>
    </xf>
    <xf numFmtId="0" fontId="16" fillId="0" borderId="37" xfId="0" applyFont="1" applyBorder="1" applyAlignment="1">
      <alignment horizontal="centerContinuous"/>
    </xf>
    <xf numFmtId="0" fontId="16" fillId="0" borderId="38" xfId="0" applyFont="1" applyBorder="1" applyAlignment="1">
      <alignment horizontal="centerContinuous"/>
    </xf>
    <xf numFmtId="0" fontId="52" fillId="0" borderId="0" xfId="0" applyFont="1" applyAlignment="1">
      <alignment/>
    </xf>
    <xf numFmtId="0" fontId="49" fillId="9" borderId="35" xfId="0" applyFont="1" applyFill="1" applyBorder="1" applyAlignment="1">
      <alignment horizontal="centerContinuous"/>
    </xf>
    <xf numFmtId="0" fontId="51" fillId="0" borderId="0" xfId="0" applyFont="1" applyBorder="1" applyAlignment="1">
      <alignment horizontal="centerContinuous"/>
    </xf>
    <xf numFmtId="0" fontId="53" fillId="0" borderId="39" xfId="0" applyFont="1" applyFill="1" applyBorder="1" applyAlignment="1">
      <alignment horizontal="centerContinuous" wrapText="1"/>
    </xf>
    <xf numFmtId="0" fontId="54" fillId="0" borderId="40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46" fillId="0" borderId="33" xfId="0" applyFont="1" applyFill="1" applyBorder="1" applyAlignment="1">
      <alignment horizontal="centerContinuous"/>
    </xf>
    <xf numFmtId="0" fontId="16" fillId="0" borderId="42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54" fillId="0" borderId="0" xfId="0" applyFont="1" applyAlignment="1">
      <alignment horizontal="centerContinuous"/>
    </xf>
    <xf numFmtId="0" fontId="54" fillId="0" borderId="8" xfId="0" applyFont="1" applyBorder="1" applyAlignment="1">
      <alignment horizontal="centerContinuous"/>
    </xf>
    <xf numFmtId="0" fontId="51" fillId="0" borderId="0" xfId="0" applyFont="1" applyAlignment="1">
      <alignment horizontal="centerContinuous"/>
    </xf>
    <xf numFmtId="0" fontId="53" fillId="0" borderId="39" xfId="0" applyFont="1" applyFill="1" applyBorder="1" applyAlignment="1">
      <alignment horizontal="centerContinuous"/>
    </xf>
    <xf numFmtId="0" fontId="22" fillId="3" borderId="16" xfId="0" applyFont="1" applyFill="1" applyBorder="1" applyAlignment="1">
      <alignment horizontal="centerContinuous"/>
    </xf>
    <xf numFmtId="0" fontId="55" fillId="0" borderId="39" xfId="0" applyFont="1" applyFill="1" applyBorder="1" applyAlignment="1">
      <alignment horizontal="centerContinuous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16" fillId="8" borderId="0" xfId="0" applyFont="1" applyFill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8" borderId="43" xfId="0" applyFill="1" applyBorder="1" applyAlignment="1">
      <alignment/>
    </xf>
    <xf numFmtId="0" fontId="46" fillId="0" borderId="31" xfId="0" applyFont="1" applyFill="1" applyBorder="1" applyAlignment="1">
      <alignment horizontal="centerContinuous"/>
    </xf>
    <xf numFmtId="0" fontId="16" fillId="8" borderId="44" xfId="0" applyFont="1" applyFill="1" applyBorder="1" applyAlignment="1">
      <alignment/>
    </xf>
    <xf numFmtId="0" fontId="44" fillId="9" borderId="45" xfId="0" applyFont="1" applyFill="1" applyBorder="1" applyAlignment="1">
      <alignment textRotation="255"/>
    </xf>
    <xf numFmtId="0" fontId="57" fillId="3" borderId="0" xfId="0" applyFont="1" applyFill="1" applyAlignment="1">
      <alignment/>
    </xf>
    <xf numFmtId="0" fontId="58" fillId="3" borderId="0" xfId="0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Continuous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3" fontId="52" fillId="0" borderId="0" xfId="0" applyNumberFormat="1" applyFont="1" applyAlignment="1">
      <alignment/>
    </xf>
    <xf numFmtId="0" fontId="64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3" fontId="52" fillId="0" borderId="0" xfId="0" applyNumberFormat="1" applyFont="1" applyBorder="1" applyAlignment="1">
      <alignment/>
    </xf>
    <xf numFmtId="0" fontId="52" fillId="0" borderId="46" xfId="0" applyFont="1" applyBorder="1" applyAlignment="1">
      <alignment/>
    </xf>
    <xf numFmtId="0" fontId="64" fillId="0" borderId="47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49" xfId="0" applyFont="1" applyBorder="1" applyAlignment="1">
      <alignment/>
    </xf>
    <xf numFmtId="0" fontId="52" fillId="0" borderId="0" xfId="0" applyFont="1" applyFill="1" applyBorder="1" applyAlignment="1">
      <alignment horizontal="center"/>
    </xf>
    <xf numFmtId="0" fontId="64" fillId="0" borderId="5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51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53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54" xfId="0" applyFont="1" applyBorder="1" applyAlignment="1">
      <alignment horizontal="center"/>
    </xf>
    <xf numFmtId="0" fontId="64" fillId="0" borderId="8" xfId="0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0" fontId="52" fillId="0" borderId="55" xfId="0" applyFont="1" applyBorder="1" applyAlignment="1">
      <alignment/>
    </xf>
    <xf numFmtId="0" fontId="52" fillId="0" borderId="4" xfId="0" applyFont="1" applyBorder="1" applyAlignment="1">
      <alignment/>
    </xf>
    <xf numFmtId="0" fontId="52" fillId="0" borderId="56" xfId="0" applyFont="1" applyBorder="1" applyAlignment="1">
      <alignment/>
    </xf>
    <xf numFmtId="0" fontId="52" fillId="0" borderId="5" xfId="0" applyFont="1" applyBorder="1" applyAlignment="1">
      <alignment/>
    </xf>
    <xf numFmtId="0" fontId="52" fillId="0" borderId="4" xfId="0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64" fillId="0" borderId="5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2" fillId="0" borderId="59" xfId="0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4" fontId="52" fillId="0" borderId="5" xfId="0" applyNumberFormat="1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60" xfId="0" applyFont="1" applyFill="1" applyBorder="1" applyAlignment="1">
      <alignment/>
    </xf>
    <xf numFmtId="3" fontId="52" fillId="0" borderId="61" xfId="0" applyNumberFormat="1" applyFont="1" applyFill="1" applyBorder="1" applyAlignment="1">
      <alignment/>
    </xf>
    <xf numFmtId="3" fontId="52" fillId="0" borderId="62" xfId="0" applyNumberFormat="1" applyFont="1" applyFill="1" applyBorder="1" applyAlignment="1">
      <alignment/>
    </xf>
    <xf numFmtId="3" fontId="52" fillId="0" borderId="63" xfId="0" applyNumberFormat="1" applyFont="1" applyFill="1" applyBorder="1" applyAlignment="1">
      <alignment/>
    </xf>
    <xf numFmtId="3" fontId="52" fillId="0" borderId="1" xfId="0" applyNumberFormat="1" applyFont="1" applyFill="1" applyBorder="1" applyAlignment="1">
      <alignment/>
    </xf>
    <xf numFmtId="3" fontId="52" fillId="0" borderId="53" xfId="0" applyNumberFormat="1" applyFont="1" applyFill="1" applyBorder="1" applyAlignment="1">
      <alignment/>
    </xf>
    <xf numFmtId="3" fontId="52" fillId="0" borderId="21" xfId="0" applyNumberFormat="1" applyFont="1" applyFill="1" applyBorder="1" applyAlignment="1">
      <alignment/>
    </xf>
    <xf numFmtId="3" fontId="52" fillId="0" borderId="8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64" xfId="0" applyNumberFormat="1" applyFont="1" applyFill="1" applyBorder="1" applyAlignment="1">
      <alignment/>
    </xf>
    <xf numFmtId="3" fontId="52" fillId="0" borderId="54" xfId="0" applyNumberFormat="1" applyFont="1" applyFill="1" applyBorder="1" applyAlignment="1">
      <alignment/>
    </xf>
    <xf numFmtId="3" fontId="52" fillId="0" borderId="29" xfId="0" applyNumberFormat="1" applyFont="1" applyFill="1" applyBorder="1" applyAlignment="1">
      <alignment/>
    </xf>
    <xf numFmtId="3" fontId="52" fillId="0" borderId="65" xfId="0" applyNumberFormat="1" applyFont="1" applyFill="1" applyBorder="1" applyAlignment="1">
      <alignment/>
    </xf>
    <xf numFmtId="3" fontId="52" fillId="0" borderId="66" xfId="0" applyNumberFormat="1" applyFont="1" applyFill="1" applyBorder="1" applyAlignment="1">
      <alignment/>
    </xf>
    <xf numFmtId="3" fontId="52" fillId="0" borderId="67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19" xfId="0" applyNumberFormat="1" applyFont="1" applyFill="1" applyBorder="1" applyAlignment="1">
      <alignment/>
    </xf>
    <xf numFmtId="3" fontId="52" fillId="0" borderId="68" xfId="0" applyNumberFormat="1" applyFont="1" applyFill="1" applyBorder="1" applyAlignment="1">
      <alignment/>
    </xf>
    <xf numFmtId="3" fontId="52" fillId="0" borderId="28" xfId="0" applyNumberFormat="1" applyFont="1" applyFill="1" applyBorder="1" applyAlignment="1">
      <alignment/>
    </xf>
    <xf numFmtId="3" fontId="52" fillId="0" borderId="69" xfId="0" applyNumberFormat="1" applyFont="1" applyFill="1" applyBorder="1" applyAlignment="1">
      <alignment/>
    </xf>
    <xf numFmtId="3" fontId="52" fillId="0" borderId="70" xfId="0" applyNumberFormat="1" applyFont="1" applyFill="1" applyBorder="1" applyAlignment="1">
      <alignment/>
    </xf>
    <xf numFmtId="3" fontId="52" fillId="0" borderId="71" xfId="0" applyNumberFormat="1" applyFont="1" applyFill="1" applyBorder="1" applyAlignment="1">
      <alignment/>
    </xf>
    <xf numFmtId="3" fontId="52" fillId="0" borderId="72" xfId="0" applyNumberFormat="1" applyFont="1" applyFill="1" applyBorder="1" applyAlignment="1">
      <alignment/>
    </xf>
    <xf numFmtId="3" fontId="52" fillId="0" borderId="73" xfId="0" applyNumberFormat="1" applyFont="1" applyFill="1" applyBorder="1" applyAlignment="1">
      <alignment/>
    </xf>
    <xf numFmtId="3" fontId="52" fillId="0" borderId="74" xfId="0" applyNumberFormat="1" applyFont="1" applyFill="1" applyBorder="1" applyAlignment="1">
      <alignment/>
    </xf>
    <xf numFmtId="0" fontId="52" fillId="0" borderId="75" xfId="0" applyFont="1" applyFill="1" applyBorder="1" applyAlignment="1">
      <alignment/>
    </xf>
    <xf numFmtId="3" fontId="52" fillId="0" borderId="76" xfId="0" applyNumberFormat="1" applyFont="1" applyFill="1" applyBorder="1" applyAlignment="1">
      <alignment/>
    </xf>
    <xf numFmtId="3" fontId="52" fillId="0" borderId="77" xfId="0" applyNumberFormat="1" applyFont="1" applyFill="1" applyBorder="1" applyAlignment="1">
      <alignment/>
    </xf>
    <xf numFmtId="3" fontId="52" fillId="0" borderId="78" xfId="0" applyNumberFormat="1" applyFont="1" applyFill="1" applyBorder="1" applyAlignment="1">
      <alignment/>
    </xf>
    <xf numFmtId="3" fontId="52" fillId="0" borderId="79" xfId="0" applyNumberFormat="1" applyFont="1" applyFill="1" applyBorder="1" applyAlignment="1">
      <alignment/>
    </xf>
    <xf numFmtId="3" fontId="52" fillId="0" borderId="80" xfId="0" applyNumberFormat="1" applyFont="1" applyFill="1" applyBorder="1" applyAlignment="1">
      <alignment/>
    </xf>
    <xf numFmtId="3" fontId="52" fillId="0" borderId="81" xfId="0" applyNumberFormat="1" applyFont="1" applyFill="1" applyBorder="1" applyAlignment="1">
      <alignment/>
    </xf>
    <xf numFmtId="3" fontId="52" fillId="0" borderId="82" xfId="0" applyNumberFormat="1" applyFont="1" applyFill="1" applyBorder="1" applyAlignment="1">
      <alignment/>
    </xf>
    <xf numFmtId="0" fontId="64" fillId="0" borderId="47" xfId="0" applyFont="1" applyFill="1" applyBorder="1" applyAlignment="1">
      <alignment/>
    </xf>
    <xf numFmtId="3" fontId="64" fillId="0" borderId="83" xfId="0" applyNumberFormat="1" applyFont="1" applyFill="1" applyBorder="1" applyAlignment="1">
      <alignment/>
    </xf>
    <xf numFmtId="3" fontId="64" fillId="0" borderId="84" xfId="0" applyNumberFormat="1" applyFont="1" applyFill="1" applyBorder="1" applyAlignment="1">
      <alignment/>
    </xf>
    <xf numFmtId="3" fontId="64" fillId="0" borderId="85" xfId="0" applyNumberFormat="1" applyFont="1" applyFill="1" applyBorder="1" applyAlignment="1">
      <alignment/>
    </xf>
    <xf numFmtId="3" fontId="64" fillId="0" borderId="48" xfId="0" applyNumberFormat="1" applyFont="1" applyFill="1" applyBorder="1" applyAlignment="1">
      <alignment/>
    </xf>
    <xf numFmtId="3" fontId="64" fillId="0" borderId="86" xfId="0" applyNumberFormat="1" applyFont="1" applyFill="1" applyBorder="1" applyAlignment="1">
      <alignment/>
    </xf>
    <xf numFmtId="3" fontId="64" fillId="0" borderId="87" xfId="0" applyNumberFormat="1" applyFont="1" applyFill="1" applyBorder="1" applyAlignment="1">
      <alignment/>
    </xf>
    <xf numFmtId="3" fontId="64" fillId="0" borderId="49" xfId="0" applyNumberFormat="1" applyFont="1" applyFill="1" applyBorder="1" applyAlignment="1">
      <alignment/>
    </xf>
    <xf numFmtId="3" fontId="64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4" fontId="52" fillId="0" borderId="0" xfId="0" applyNumberFormat="1" applyFont="1" applyFill="1" applyAlignment="1">
      <alignment/>
    </xf>
    <xf numFmtId="0" fontId="6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9" fillId="0" borderId="0" xfId="0" applyFont="1" applyAlignment="1">
      <alignment horizontal="right"/>
    </xf>
    <xf numFmtId="0" fontId="0" fillId="0" borderId="88" xfId="0" applyBorder="1" applyAlignment="1">
      <alignment/>
    </xf>
    <xf numFmtId="0" fontId="69" fillId="4" borderId="29" xfId="0" applyFont="1" applyFill="1" applyBorder="1" applyAlignment="1">
      <alignment horizontal="center" wrapText="1"/>
    </xf>
    <xf numFmtId="0" fontId="69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70" fillId="0" borderId="46" xfId="0" applyFont="1" applyBorder="1" applyAlignment="1">
      <alignment horizontal="centerContinuous"/>
    </xf>
    <xf numFmtId="0" fontId="69" fillId="0" borderId="88" xfId="0" applyFont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69" fillId="0" borderId="2" xfId="0" applyFont="1" applyBorder="1" applyAlignment="1">
      <alignment/>
    </xf>
    <xf numFmtId="0" fontId="69" fillId="0" borderId="51" xfId="0" applyFont="1" applyBorder="1" applyAlignment="1">
      <alignment/>
    </xf>
    <xf numFmtId="0" fontId="69" fillId="0" borderId="52" xfId="0" applyFont="1" applyBorder="1" applyAlignment="1">
      <alignment/>
    </xf>
    <xf numFmtId="0" fontId="70" fillId="0" borderId="2" xfId="0" applyFont="1" applyBorder="1" applyAlignment="1">
      <alignment horizontal="center"/>
    </xf>
    <xf numFmtId="0" fontId="71" fillId="4" borderId="54" xfId="0" applyFont="1" applyFill="1" applyBorder="1" applyAlignment="1">
      <alignment horizontal="center"/>
    </xf>
    <xf numFmtId="0" fontId="69" fillId="4" borderId="8" xfId="0" applyFont="1" applyFill="1" applyBorder="1" applyAlignment="1">
      <alignment horizontal="center" wrapText="1"/>
    </xf>
    <xf numFmtId="0" fontId="0" fillId="4" borderId="89" xfId="0" applyFont="1" applyFill="1" applyBorder="1" applyAlignment="1">
      <alignment horizontal="center"/>
    </xf>
    <xf numFmtId="0" fontId="0" fillId="4" borderId="90" xfId="0" applyFont="1" applyFill="1" applyBorder="1" applyAlignment="1">
      <alignment horizontal="center"/>
    </xf>
    <xf numFmtId="0" fontId="69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69" fillId="0" borderId="53" xfId="0" applyFont="1" applyBorder="1" applyAlignment="1">
      <alignment horizontal="center"/>
    </xf>
    <xf numFmtId="0" fontId="70" fillId="0" borderId="50" xfId="0" applyFont="1" applyBorder="1" applyAlignment="1">
      <alignment horizontal="centerContinuous"/>
    </xf>
    <xf numFmtId="0" fontId="69" fillId="0" borderId="65" xfId="0" applyFont="1" applyBorder="1" applyAlignment="1">
      <alignment horizontal="center"/>
    </xf>
    <xf numFmtId="0" fontId="69" fillId="0" borderId="90" xfId="0" applyFont="1" applyBorder="1" applyAlignment="1">
      <alignment horizontal="center"/>
    </xf>
    <xf numFmtId="0" fontId="69" fillId="0" borderId="91" xfId="0" applyFont="1" applyBorder="1" applyAlignment="1">
      <alignment horizontal="center"/>
    </xf>
    <xf numFmtId="0" fontId="70" fillId="0" borderId="5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70" fillId="0" borderId="65" xfId="0" applyFont="1" applyBorder="1" applyAlignment="1">
      <alignment horizontal="center"/>
    </xf>
    <xf numFmtId="0" fontId="69" fillId="0" borderId="92" xfId="0" applyFont="1" applyFill="1" applyBorder="1" applyAlignment="1">
      <alignment/>
    </xf>
    <xf numFmtId="4" fontId="71" fillId="0" borderId="62" xfId="0" applyNumberFormat="1" applyFont="1" applyFill="1" applyBorder="1" applyAlignment="1">
      <alignment/>
    </xf>
    <xf numFmtId="3" fontId="71" fillId="0" borderId="20" xfId="0" applyNumberFormat="1" applyFont="1" applyFill="1" applyBorder="1" applyAlignment="1">
      <alignment/>
    </xf>
    <xf numFmtId="4" fontId="71" fillId="0" borderId="20" xfId="0" applyNumberFormat="1" applyFont="1" applyFill="1" applyBorder="1" applyAlignment="1">
      <alignment horizontal="right"/>
    </xf>
    <xf numFmtId="3" fontId="71" fillId="0" borderId="62" xfId="0" applyNumberFormat="1" applyFont="1" applyFill="1" applyBorder="1" applyAlignment="1">
      <alignment/>
    </xf>
    <xf numFmtId="4" fontId="71" fillId="0" borderId="62" xfId="0" applyNumberFormat="1" applyFont="1" applyBorder="1" applyAlignment="1">
      <alignment/>
    </xf>
    <xf numFmtId="4" fontId="71" fillId="0" borderId="93" xfId="0" applyNumberFormat="1" applyFont="1" applyBorder="1" applyAlignment="1">
      <alignment/>
    </xf>
    <xf numFmtId="4" fontId="67" fillId="0" borderId="46" xfId="0" applyNumberFormat="1" applyFont="1" applyBorder="1" applyAlignment="1">
      <alignment/>
    </xf>
    <xf numFmtId="4" fontId="71" fillId="0" borderId="94" xfId="0" applyNumberFormat="1" applyFont="1" applyBorder="1" applyAlignment="1">
      <alignment/>
    </xf>
    <xf numFmtId="4" fontId="71" fillId="0" borderId="95" xfId="0" applyNumberFormat="1" applyFont="1" applyBorder="1" applyAlignment="1">
      <alignment/>
    </xf>
    <xf numFmtId="4" fontId="71" fillId="0" borderId="29" xfId="0" applyNumberFormat="1" applyFont="1" applyBorder="1" applyAlignment="1">
      <alignment/>
    </xf>
    <xf numFmtId="4" fontId="71" fillId="0" borderId="2" xfId="0" applyNumberFormat="1" applyFont="1" applyBorder="1" applyAlignment="1">
      <alignment/>
    </xf>
    <xf numFmtId="4" fontId="71" fillId="0" borderId="96" xfId="0" applyNumberFormat="1" applyFont="1" applyBorder="1" applyAlignment="1">
      <alignment/>
    </xf>
    <xf numFmtId="4" fontId="71" fillId="0" borderId="68" xfId="0" applyNumberFormat="1" applyFont="1" applyBorder="1" applyAlignment="1">
      <alignment/>
    </xf>
    <xf numFmtId="4" fontId="67" fillId="0" borderId="3" xfId="0" applyNumberFormat="1" applyFont="1" applyBorder="1" applyAlignment="1">
      <alignment/>
    </xf>
    <xf numFmtId="0" fontId="69" fillId="4" borderId="97" xfId="0" applyFont="1" applyFill="1" applyBorder="1" applyAlignment="1">
      <alignment/>
    </xf>
    <xf numFmtId="4" fontId="71" fillId="0" borderId="70" xfId="0" applyNumberFormat="1" applyFont="1" applyFill="1" applyBorder="1" applyAlignment="1">
      <alignment/>
    </xf>
    <xf numFmtId="4" fontId="71" fillId="4" borderId="20" xfId="0" applyNumberFormat="1" applyFont="1" applyFill="1" applyBorder="1" applyAlignment="1">
      <alignment horizontal="right"/>
    </xf>
    <xf numFmtId="4" fontId="71" fillId="0" borderId="68" xfId="0" applyNumberFormat="1" applyFont="1" applyFill="1" applyBorder="1" applyAlignment="1">
      <alignment/>
    </xf>
    <xf numFmtId="4" fontId="71" fillId="0" borderId="98" xfId="0" applyNumberFormat="1" applyFont="1" applyBorder="1" applyAlignment="1">
      <alignment/>
    </xf>
    <xf numFmtId="4" fontId="67" fillId="0" borderId="99" xfId="0" applyNumberFormat="1" applyFont="1" applyBorder="1" applyAlignment="1">
      <alignment/>
    </xf>
    <xf numFmtId="4" fontId="71" fillId="0" borderId="20" xfId="0" applyNumberFormat="1" applyFont="1" applyBorder="1" applyAlignment="1">
      <alignment/>
    </xf>
    <xf numFmtId="4" fontId="71" fillId="0" borderId="100" xfId="0" applyNumberFormat="1" applyFont="1" applyBorder="1" applyAlignment="1">
      <alignment/>
    </xf>
    <xf numFmtId="4" fontId="71" fillId="0" borderId="66" xfId="0" applyNumberFormat="1" applyFont="1" applyBorder="1" applyAlignment="1">
      <alignment/>
    </xf>
    <xf numFmtId="4" fontId="71" fillId="0" borderId="67" xfId="0" applyNumberFormat="1" applyFont="1" applyBorder="1" applyAlignment="1">
      <alignment/>
    </xf>
    <xf numFmtId="4" fontId="67" fillId="0" borderId="75" xfId="0" applyNumberFormat="1" applyFont="1" applyBorder="1" applyAlignment="1">
      <alignment/>
    </xf>
    <xf numFmtId="4" fontId="71" fillId="0" borderId="28" xfId="0" applyNumberFormat="1" applyFont="1" applyBorder="1" applyAlignment="1">
      <alignment/>
    </xf>
    <xf numFmtId="4" fontId="71" fillId="0" borderId="70" xfId="0" applyNumberFormat="1" applyFont="1" applyBorder="1" applyAlignment="1">
      <alignment/>
    </xf>
    <xf numFmtId="4" fontId="67" fillId="0" borderId="67" xfId="0" applyNumberFormat="1" applyFont="1" applyBorder="1" applyAlignment="1">
      <alignment/>
    </xf>
    <xf numFmtId="0" fontId="69" fillId="0" borderId="73" xfId="0" applyFont="1" applyFill="1" applyBorder="1" applyAlignment="1">
      <alignment/>
    </xf>
    <xf numFmtId="4" fontId="71" fillId="0" borderId="66" xfId="0" applyNumberFormat="1" applyFont="1" applyFill="1" applyBorder="1" applyAlignment="1">
      <alignment horizontal="right"/>
    </xf>
    <xf numFmtId="4" fontId="71" fillId="0" borderId="72" xfId="0" applyNumberFormat="1" applyFont="1" applyBorder="1" applyAlignment="1">
      <alignment/>
    </xf>
    <xf numFmtId="4" fontId="71" fillId="0" borderId="74" xfId="0" applyNumberFormat="1" applyFont="1" applyBorder="1" applyAlignment="1">
      <alignment/>
    </xf>
    <xf numFmtId="4" fontId="71" fillId="0" borderId="71" xfId="0" applyNumberFormat="1" applyFont="1" applyBorder="1" applyAlignment="1">
      <alignment/>
    </xf>
    <xf numFmtId="4" fontId="67" fillId="0" borderId="74" xfId="0" applyNumberFormat="1" applyFont="1" applyBorder="1" applyAlignment="1">
      <alignment/>
    </xf>
    <xf numFmtId="0" fontId="0" fillId="4" borderId="0" xfId="0" applyFill="1" applyAlignment="1">
      <alignment/>
    </xf>
    <xf numFmtId="0" fontId="69" fillId="4" borderId="73" xfId="0" applyFont="1" applyFill="1" applyBorder="1" applyAlignment="1">
      <alignment/>
    </xf>
    <xf numFmtId="4" fontId="71" fillId="4" borderId="70" xfId="0" applyNumberFormat="1" applyFont="1" applyFill="1" applyBorder="1" applyAlignment="1">
      <alignment horizontal="right"/>
    </xf>
    <xf numFmtId="4" fontId="71" fillId="4" borderId="66" xfId="0" applyNumberFormat="1" applyFont="1" applyFill="1" applyBorder="1" applyAlignment="1">
      <alignment horizontal="right"/>
    </xf>
    <xf numFmtId="4" fontId="71" fillId="4" borderId="70" xfId="0" applyNumberFormat="1" applyFont="1" applyFill="1" applyBorder="1" applyAlignment="1">
      <alignment/>
    </xf>
    <xf numFmtId="4" fontId="71" fillId="4" borderId="72" xfId="0" applyNumberFormat="1" applyFont="1" applyFill="1" applyBorder="1" applyAlignment="1">
      <alignment/>
    </xf>
    <xf numFmtId="4" fontId="67" fillId="0" borderId="60" xfId="0" applyNumberFormat="1" applyFont="1" applyBorder="1" applyAlignment="1">
      <alignment/>
    </xf>
    <xf numFmtId="4" fontId="71" fillId="4" borderId="66" xfId="0" applyNumberFormat="1" applyFont="1" applyFill="1" applyBorder="1" applyAlignment="1">
      <alignment/>
    </xf>
    <xf numFmtId="4" fontId="71" fillId="4" borderId="74" xfId="0" applyNumberFormat="1" applyFont="1" applyFill="1" applyBorder="1" applyAlignment="1">
      <alignment/>
    </xf>
    <xf numFmtId="4" fontId="71" fillId="4" borderId="71" xfId="0" applyNumberFormat="1" applyFont="1" applyFill="1" applyBorder="1" applyAlignment="1">
      <alignment/>
    </xf>
    <xf numFmtId="4" fontId="67" fillId="4" borderId="75" xfId="0" applyNumberFormat="1" applyFont="1" applyFill="1" applyBorder="1" applyAlignment="1">
      <alignment/>
    </xf>
    <xf numFmtId="4" fontId="67" fillId="4" borderId="71" xfId="0" applyNumberFormat="1" applyFont="1" applyFill="1" applyBorder="1" applyAlignment="1">
      <alignment/>
    </xf>
    <xf numFmtId="4" fontId="67" fillId="4" borderId="70" xfId="0" applyNumberFormat="1" applyFont="1" applyFill="1" applyBorder="1" applyAlignment="1">
      <alignment/>
    </xf>
    <xf numFmtId="4" fontId="67" fillId="4" borderId="74" xfId="0" applyNumberFormat="1" applyFont="1" applyFill="1" applyBorder="1" applyAlignment="1">
      <alignment/>
    </xf>
    <xf numFmtId="4" fontId="71" fillId="0" borderId="8" xfId="0" applyNumberFormat="1" applyFont="1" applyFill="1" applyBorder="1" applyAlignment="1">
      <alignment/>
    </xf>
    <xf numFmtId="4" fontId="67" fillId="0" borderId="50" xfId="0" applyNumberFormat="1" applyFont="1" applyBorder="1" applyAlignment="1">
      <alignment/>
    </xf>
    <xf numFmtId="4" fontId="67" fillId="0" borderId="71" xfId="0" applyNumberFormat="1" applyFont="1" applyBorder="1" applyAlignment="1">
      <alignment/>
    </xf>
    <xf numFmtId="4" fontId="67" fillId="0" borderId="70" xfId="0" applyNumberFormat="1" applyFont="1" applyBorder="1" applyAlignment="1">
      <alignment/>
    </xf>
    <xf numFmtId="0" fontId="70" fillId="4" borderId="73" xfId="0" applyFont="1" applyFill="1" applyBorder="1" applyAlignment="1">
      <alignment/>
    </xf>
    <xf numFmtId="4" fontId="67" fillId="0" borderId="70" xfId="0" applyNumberFormat="1" applyFont="1" applyFill="1" applyBorder="1" applyAlignment="1">
      <alignment horizontal="right"/>
    </xf>
    <xf numFmtId="4" fontId="67" fillId="0" borderId="70" xfId="0" applyNumberFormat="1" applyFont="1" applyFill="1" applyBorder="1" applyAlignment="1">
      <alignment/>
    </xf>
    <xf numFmtId="4" fontId="67" fillId="0" borderId="72" xfId="0" applyNumberFormat="1" applyFont="1" applyBorder="1" applyAlignment="1">
      <alignment/>
    </xf>
    <xf numFmtId="4" fontId="67" fillId="0" borderId="66" xfId="0" applyNumberFormat="1" applyFont="1" applyBorder="1" applyAlignment="1">
      <alignment/>
    </xf>
    <xf numFmtId="4" fontId="67" fillId="0" borderId="69" xfId="0" applyNumberFormat="1" applyFont="1" applyBorder="1" applyAlignment="1">
      <alignment/>
    </xf>
    <xf numFmtId="0" fontId="69" fillId="4" borderId="73" xfId="0" applyFont="1" applyFill="1" applyBorder="1" applyAlignment="1">
      <alignment horizontal="left"/>
    </xf>
    <xf numFmtId="4" fontId="67" fillId="4" borderId="72" xfId="0" applyNumberFormat="1" applyFont="1" applyFill="1" applyBorder="1" applyAlignment="1">
      <alignment/>
    </xf>
    <xf numFmtId="4" fontId="67" fillId="4" borderId="66" xfId="0" applyNumberFormat="1" applyFont="1" applyFill="1" applyBorder="1" applyAlignment="1">
      <alignment/>
    </xf>
    <xf numFmtId="0" fontId="69" fillId="0" borderId="73" xfId="0" applyFont="1" applyFill="1" applyBorder="1" applyAlignment="1">
      <alignment horizontal="left"/>
    </xf>
    <xf numFmtId="0" fontId="70" fillId="4" borderId="73" xfId="0" applyFont="1" applyFill="1" applyBorder="1" applyAlignment="1">
      <alignment horizontal="left"/>
    </xf>
    <xf numFmtId="4" fontId="71" fillId="0" borderId="72" xfId="0" applyNumberFormat="1" applyFont="1" applyFill="1" applyBorder="1" applyAlignment="1">
      <alignment/>
    </xf>
    <xf numFmtId="4" fontId="71" fillId="0" borderId="66" xfId="0" applyNumberFormat="1" applyFont="1" applyFill="1" applyBorder="1" applyAlignment="1">
      <alignment/>
    </xf>
    <xf numFmtId="4" fontId="71" fillId="0" borderId="74" xfId="0" applyNumberFormat="1" applyFont="1" applyFill="1" applyBorder="1" applyAlignment="1">
      <alignment/>
    </xf>
    <xf numFmtId="4" fontId="71" fillId="0" borderId="71" xfId="0" applyNumberFormat="1" applyFont="1" applyFill="1" applyBorder="1" applyAlignment="1">
      <alignment/>
    </xf>
    <xf numFmtId="4" fontId="67" fillId="0" borderId="75" xfId="0" applyNumberFormat="1" applyFont="1" applyFill="1" applyBorder="1" applyAlignment="1">
      <alignment/>
    </xf>
    <xf numFmtId="4" fontId="67" fillId="0" borderId="71" xfId="0" applyNumberFormat="1" applyFont="1" applyFill="1" applyBorder="1" applyAlignment="1">
      <alignment/>
    </xf>
    <xf numFmtId="4" fontId="67" fillId="0" borderId="74" xfId="0" applyNumberFormat="1" applyFont="1" applyFill="1" applyBorder="1" applyAlignment="1">
      <alignment/>
    </xf>
    <xf numFmtId="4" fontId="67" fillId="4" borderId="67" xfId="0" applyNumberFormat="1" applyFont="1" applyFill="1" applyBorder="1" applyAlignment="1">
      <alignment/>
    </xf>
    <xf numFmtId="4" fontId="71" fillId="0" borderId="70" xfId="0" applyNumberFormat="1" applyFont="1" applyFill="1" applyBorder="1" applyAlignment="1">
      <alignment horizontal="right"/>
    </xf>
    <xf numFmtId="0" fontId="0" fillId="0" borderId="70" xfId="0" applyBorder="1" applyAlignment="1">
      <alignment/>
    </xf>
    <xf numFmtId="3" fontId="70" fillId="4" borderId="101" xfId="0" applyNumberFormat="1" applyFont="1" applyFill="1" applyBorder="1" applyAlignment="1">
      <alignment/>
    </xf>
    <xf numFmtId="4" fontId="67" fillId="0" borderId="89" xfId="0" applyNumberFormat="1" applyFont="1" applyFill="1" applyBorder="1" applyAlignment="1">
      <alignment horizontal="right"/>
    </xf>
    <xf numFmtId="4" fontId="67" fillId="0" borderId="89" xfId="0" applyNumberFormat="1" applyFont="1" applyFill="1" applyBorder="1" applyAlignment="1">
      <alignment/>
    </xf>
    <xf numFmtId="4" fontId="67" fillId="0" borderId="89" xfId="0" applyNumberFormat="1" applyFont="1" applyBorder="1" applyAlignment="1">
      <alignment/>
    </xf>
    <xf numFmtId="4" fontId="67" fillId="0" borderId="102" xfId="0" applyNumberFormat="1" applyFont="1" applyBorder="1" applyAlignment="1">
      <alignment/>
    </xf>
    <xf numFmtId="4" fontId="67" fillId="0" borderId="103" xfId="0" applyNumberFormat="1" applyFont="1" applyBorder="1" applyAlignment="1">
      <alignment/>
    </xf>
    <xf numFmtId="4" fontId="67" fillId="0" borderId="90" xfId="0" applyNumberFormat="1" applyFont="1" applyBorder="1" applyAlignment="1">
      <alignment/>
    </xf>
    <xf numFmtId="4" fontId="67" fillId="0" borderId="104" xfId="0" applyNumberFormat="1" applyFont="1" applyBorder="1" applyAlignment="1">
      <alignment/>
    </xf>
    <xf numFmtId="4" fontId="67" fillId="0" borderId="105" xfId="0" applyNumberFormat="1" applyFont="1" applyBorder="1" applyAlignment="1">
      <alignment/>
    </xf>
    <xf numFmtId="4" fontId="67" fillId="0" borderId="91" xfId="0" applyNumberFormat="1" applyFont="1" applyBorder="1" applyAlignment="1">
      <alignment/>
    </xf>
    <xf numFmtId="3" fontId="60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60" fillId="0" borderId="0" xfId="0" applyNumberFormat="1" applyFont="1" applyBorder="1" applyAlignment="1">
      <alignment/>
    </xf>
    <xf numFmtId="4" fontId="67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4" fontId="67" fillId="0" borderId="0" xfId="0" applyNumberFormat="1" applyFont="1" applyBorder="1" applyAlignment="1">
      <alignment horizontal="right"/>
    </xf>
    <xf numFmtId="4" fontId="67" fillId="0" borderId="0" xfId="0" applyNumberFormat="1" applyFont="1" applyBorder="1" applyAlignment="1">
      <alignment horizontal="left"/>
    </xf>
    <xf numFmtId="4" fontId="67" fillId="0" borderId="0" xfId="0" applyNumberFormat="1" applyFont="1" applyAlignment="1">
      <alignment/>
    </xf>
    <xf numFmtId="4" fontId="69" fillId="0" borderId="0" xfId="0" applyNumberFormat="1" applyFont="1" applyAlignment="1">
      <alignment horizontal="right"/>
    </xf>
    <xf numFmtId="0" fontId="71" fillId="4" borderId="58" xfId="0" applyFont="1" applyFill="1" applyBorder="1" applyAlignment="1">
      <alignment horizontal="center"/>
    </xf>
    <xf numFmtId="0" fontId="69" fillId="4" borderId="7" xfId="0" applyFont="1" applyFill="1" applyBorder="1" applyAlignment="1">
      <alignment horizontal="center" wrapText="1"/>
    </xf>
    <xf numFmtId="0" fontId="69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70" fillId="0" borderId="55" xfId="0" applyFont="1" applyBorder="1" applyAlignment="1">
      <alignment horizontal="centerContinuous"/>
    </xf>
    <xf numFmtId="0" fontId="69" fillId="0" borderId="59" xfId="0" applyFont="1" applyBorder="1" applyAlignment="1">
      <alignment horizontal="center"/>
    </xf>
    <xf numFmtId="0" fontId="70" fillId="0" borderId="55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69" fillId="0" borderId="6" xfId="0" applyFont="1" applyBorder="1" applyAlignment="1">
      <alignment horizontal="center"/>
    </xf>
    <xf numFmtId="0" fontId="70" fillId="0" borderId="59" xfId="0" applyFont="1" applyBorder="1" applyAlignment="1">
      <alignment horizontal="center"/>
    </xf>
    <xf numFmtId="0" fontId="71" fillId="0" borderId="97" xfId="0" applyFont="1" applyBorder="1" applyAlignment="1">
      <alignment/>
    </xf>
    <xf numFmtId="0" fontId="71" fillId="0" borderId="73" xfId="0" applyFont="1" applyBorder="1" applyAlignment="1">
      <alignment/>
    </xf>
    <xf numFmtId="0" fontId="67" fillId="0" borderId="101" xfId="0" applyFont="1" applyBorder="1" applyAlignment="1">
      <alignment/>
    </xf>
    <xf numFmtId="4" fontId="67" fillId="0" borderId="106" xfId="0" applyNumberFormat="1" applyFont="1" applyBorder="1" applyAlignment="1">
      <alignment/>
    </xf>
    <xf numFmtId="0" fontId="70" fillId="0" borderId="0" xfId="0" applyFont="1" applyAlignment="1">
      <alignment/>
    </xf>
    <xf numFmtId="3" fontId="60" fillId="0" borderId="0" xfId="0" applyNumberFormat="1" applyFont="1" applyBorder="1" applyAlignment="1">
      <alignment/>
    </xf>
    <xf numFmtId="0" fontId="60" fillId="0" borderId="46" xfId="0" applyFont="1" applyBorder="1" applyAlignment="1">
      <alignment horizontal="left"/>
    </xf>
    <xf numFmtId="0" fontId="60" fillId="0" borderId="1" xfId="0" applyFont="1" applyBorder="1" applyAlignment="1">
      <alignment horizontal="centerContinuous"/>
    </xf>
    <xf numFmtId="0" fontId="60" fillId="0" borderId="3" xfId="0" applyFont="1" applyBorder="1" applyAlignment="1">
      <alignment horizontal="centerContinuous"/>
    </xf>
    <xf numFmtId="0" fontId="60" fillId="0" borderId="2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46" xfId="0" applyFont="1" applyBorder="1" applyAlignment="1">
      <alignment/>
    </xf>
    <xf numFmtId="0" fontId="60" fillId="0" borderId="50" xfId="0" applyFont="1" applyBorder="1" applyAlignment="1">
      <alignment horizontal="left"/>
    </xf>
    <xf numFmtId="0" fontId="60" fillId="0" borderId="21" xfId="0" applyFont="1" applyBorder="1" applyAlignment="1">
      <alignment horizontal="center"/>
    </xf>
    <xf numFmtId="0" fontId="60" fillId="0" borderId="2" xfId="0" applyFont="1" applyBorder="1" applyAlignment="1">
      <alignment horizontal="centerContinuous"/>
    </xf>
    <xf numFmtId="0" fontId="60" fillId="0" borderId="50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60" fillId="0" borderId="6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107" xfId="0" applyFont="1" applyBorder="1" applyAlignment="1">
      <alignment horizontal="center"/>
    </xf>
    <xf numFmtId="0" fontId="0" fillId="0" borderId="108" xfId="0" applyFont="1" applyBorder="1" applyAlignment="1">
      <alignment/>
    </xf>
    <xf numFmtId="3" fontId="0" fillId="0" borderId="93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0" fillId="0" borderId="94" xfId="0" applyNumberFormat="1" applyFont="1" applyFill="1" applyBorder="1" applyAlignment="1">
      <alignment/>
    </xf>
    <xf numFmtId="4" fontId="0" fillId="0" borderId="74" xfId="0" applyNumberFormat="1" applyFill="1" applyBorder="1" applyAlignment="1">
      <alignment/>
    </xf>
    <xf numFmtId="3" fontId="0" fillId="0" borderId="108" xfId="0" applyNumberFormat="1" applyFont="1" applyFill="1" applyBorder="1" applyAlignment="1">
      <alignment/>
    </xf>
    <xf numFmtId="4" fontId="0" fillId="0" borderId="67" xfId="0" applyNumberFormat="1" applyFill="1" applyBorder="1" applyAlignment="1">
      <alignment/>
    </xf>
    <xf numFmtId="4" fontId="0" fillId="10" borderId="75" xfId="0" applyNumberFormat="1" applyFill="1" applyBorder="1" applyAlignment="1">
      <alignment/>
    </xf>
    <xf numFmtId="0" fontId="0" fillId="0" borderId="60" xfId="0" applyBorder="1" applyAlignment="1">
      <alignment/>
    </xf>
    <xf numFmtId="3" fontId="0" fillId="0" borderId="98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0" fontId="0" fillId="0" borderId="75" xfId="0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4" fontId="0" fillId="0" borderId="75" xfId="0" applyNumberForma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0" fontId="60" fillId="0" borderId="103" xfId="0" applyFont="1" applyBorder="1" applyAlignment="1">
      <alignment/>
    </xf>
    <xf numFmtId="3" fontId="60" fillId="0" borderId="106" xfId="0" applyNumberFormat="1" applyFont="1" applyBorder="1" applyAlignment="1">
      <alignment/>
    </xf>
    <xf numFmtId="3" fontId="60" fillId="0" borderId="103" xfId="0" applyNumberFormat="1" applyFont="1" applyBorder="1" applyAlignment="1">
      <alignment/>
    </xf>
    <xf numFmtId="3" fontId="60" fillId="0" borderId="91" xfId="0" applyNumberFormat="1" applyFont="1" applyFill="1" applyBorder="1" applyAlignment="1">
      <alignment/>
    </xf>
    <xf numFmtId="3" fontId="60" fillId="0" borderId="90" xfId="0" applyNumberFormat="1" applyFont="1" applyFill="1" applyBorder="1" applyAlignment="1">
      <alignment/>
    </xf>
    <xf numFmtId="4" fontId="0" fillId="0" borderId="104" xfId="0" applyNumberFormat="1" applyFill="1" applyBorder="1" applyAlignment="1">
      <alignment/>
    </xf>
    <xf numFmtId="3" fontId="60" fillId="0" borderId="103" xfId="0" applyNumberFormat="1" applyFont="1" applyFill="1" applyBorder="1" applyAlignment="1">
      <alignment/>
    </xf>
    <xf numFmtId="4" fontId="0" fillId="0" borderId="91" xfId="0" applyNumberFormat="1" applyFill="1" applyBorder="1" applyAlignment="1">
      <alignment/>
    </xf>
    <xf numFmtId="4" fontId="0" fillId="0" borderId="103" xfId="0" applyNumberFormat="1" applyBorder="1" applyAlignment="1">
      <alignment/>
    </xf>
    <xf numFmtId="0" fontId="0" fillId="0" borderId="99" xfId="0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100" xfId="0" applyNumberForma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4" fontId="0" fillId="0" borderId="109" xfId="0" applyNumberForma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0" fillId="0" borderId="99" xfId="0" applyNumberFormat="1" applyFont="1" applyFill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91" xfId="0" applyNumberFormat="1" applyFont="1" applyFill="1" applyBorder="1" applyAlignment="1">
      <alignment/>
    </xf>
    <xf numFmtId="3" fontId="0" fillId="0" borderId="90" xfId="0" applyNumberFormat="1" applyFont="1" applyFill="1" applyBorder="1" applyAlignment="1">
      <alignment/>
    </xf>
    <xf numFmtId="3" fontId="0" fillId="0" borderId="103" xfId="0" applyNumberFormat="1" applyFont="1" applyFill="1" applyBorder="1" applyAlignment="1">
      <alignment/>
    </xf>
    <xf numFmtId="4" fontId="0" fillId="0" borderId="60" xfId="0" applyNumberFormat="1" applyBorder="1" applyAlignment="1">
      <alignment/>
    </xf>
    <xf numFmtId="0" fontId="60" fillId="0" borderId="75" xfId="0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0" fontId="0" fillId="0" borderId="75" xfId="0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4" fontId="0" fillId="0" borderId="74" xfId="0" applyNumberFormat="1" applyBorder="1" applyAlignment="1">
      <alignment/>
    </xf>
    <xf numFmtId="4" fontId="0" fillId="0" borderId="67" xfId="0" applyNumberForma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4" fontId="0" fillId="0" borderId="111" xfId="0" applyNumberFormat="1" applyBorder="1" applyAlignment="1">
      <alignment/>
    </xf>
    <xf numFmtId="4" fontId="0" fillId="0" borderId="91" xfId="0" applyNumberFormat="1" applyBorder="1" applyAlignment="1">
      <alignment/>
    </xf>
    <xf numFmtId="0" fontId="60" fillId="0" borderId="107" xfId="0" applyFont="1" applyBorder="1" applyAlignment="1">
      <alignment/>
    </xf>
    <xf numFmtId="4" fontId="0" fillId="0" borderId="8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0" fillId="0" borderId="100" xfId="0" applyNumberFormat="1" applyBorder="1" applyAlignment="1">
      <alignment/>
    </xf>
    <xf numFmtId="4" fontId="0" fillId="0" borderId="109" xfId="0" applyNumberFormat="1" applyBorder="1" applyAlignment="1">
      <alignment/>
    </xf>
    <xf numFmtId="3" fontId="0" fillId="0" borderId="102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4" fontId="0" fillId="0" borderId="104" xfId="0" applyNumberFormat="1" applyFont="1" applyBorder="1" applyAlignment="1">
      <alignment/>
    </xf>
    <xf numFmtId="4" fontId="0" fillId="0" borderId="91" xfId="0" applyNumberFormat="1" applyFont="1" applyBorder="1" applyAlignment="1">
      <alignment/>
    </xf>
    <xf numFmtId="4" fontId="0" fillId="0" borderId="82" xfId="0" applyNumberFormat="1" applyFont="1" applyBorder="1" applyAlignment="1">
      <alignment/>
    </xf>
    <xf numFmtId="4" fontId="0" fillId="0" borderId="103" xfId="0" applyNumberFormat="1" applyFont="1" applyBorder="1" applyAlignment="1">
      <alignment/>
    </xf>
    <xf numFmtId="3" fontId="60" fillId="0" borderId="112" xfId="0" applyNumberFormat="1" applyFont="1" applyBorder="1" applyAlignment="1">
      <alignment/>
    </xf>
    <xf numFmtId="3" fontId="60" fillId="0" borderId="113" xfId="0" applyNumberFormat="1" applyFont="1" applyBorder="1" applyAlignment="1">
      <alignment/>
    </xf>
    <xf numFmtId="3" fontId="60" fillId="0" borderId="114" xfId="0" applyNumberFormat="1" applyFont="1" applyBorder="1" applyAlignment="1">
      <alignment/>
    </xf>
    <xf numFmtId="3" fontId="60" fillId="0" borderId="115" xfId="0" applyNumberFormat="1" applyFont="1" applyBorder="1" applyAlignment="1">
      <alignment/>
    </xf>
    <xf numFmtId="3" fontId="60" fillId="0" borderId="116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1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3" fontId="0" fillId="0" borderId="9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117" xfId="0" applyNumberFormat="1" applyBorder="1" applyAlignment="1">
      <alignment/>
    </xf>
    <xf numFmtId="4" fontId="0" fillId="0" borderId="118" xfId="0" applyNumberFormat="1" applyBorder="1" applyAlignment="1">
      <alignment/>
    </xf>
    <xf numFmtId="4" fontId="0" fillId="0" borderId="119" xfId="0" applyNumberFormat="1" applyBorder="1" applyAlignment="1">
      <alignment/>
    </xf>
    <xf numFmtId="3" fontId="60" fillId="0" borderId="87" xfId="0" applyNumberFormat="1" applyFont="1" applyBorder="1" applyAlignment="1">
      <alignment/>
    </xf>
    <xf numFmtId="3" fontId="60" fillId="0" borderId="107" xfId="0" applyNumberFormat="1" applyFont="1" applyBorder="1" applyAlignment="1">
      <alignment/>
    </xf>
    <xf numFmtId="3" fontId="60" fillId="0" borderId="49" xfId="0" applyNumberFormat="1" applyFont="1" applyBorder="1" applyAlignment="1">
      <alignment/>
    </xf>
    <xf numFmtId="3" fontId="60" fillId="0" borderId="86" xfId="0" applyNumberFormat="1" applyFont="1" applyBorder="1" applyAlignment="1">
      <alignment/>
    </xf>
    <xf numFmtId="4" fontId="60" fillId="0" borderId="85" xfId="0" applyNumberFormat="1" applyFont="1" applyBorder="1" applyAlignment="1">
      <alignment/>
    </xf>
    <xf numFmtId="4" fontId="60" fillId="0" borderId="49" xfId="0" applyNumberFormat="1" applyFont="1" applyBorder="1" applyAlignment="1">
      <alignment/>
    </xf>
    <xf numFmtId="4" fontId="0" fillId="0" borderId="107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0" fillId="0" borderId="3" xfId="0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96" xfId="0" applyNumberFormat="1" applyFont="1" applyBorder="1" applyAlignment="1">
      <alignment/>
    </xf>
    <xf numFmtId="4" fontId="0" fillId="0" borderId="108" xfId="0" applyNumberFormat="1" applyBorder="1" applyAlignment="1">
      <alignment/>
    </xf>
    <xf numFmtId="3" fontId="0" fillId="0" borderId="10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60" fillId="0" borderId="91" xfId="0" applyNumberFormat="1" applyFont="1" applyBorder="1" applyAlignment="1">
      <alignment/>
    </xf>
    <xf numFmtId="3" fontId="60" fillId="0" borderId="105" xfId="0" applyNumberFormat="1" applyFont="1" applyBorder="1" applyAlignment="1">
      <alignment/>
    </xf>
    <xf numFmtId="4" fontId="0" fillId="0" borderId="104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105" xfId="0" applyNumberFormat="1" applyFont="1" applyBorder="1" applyAlignment="1">
      <alignment/>
    </xf>
    <xf numFmtId="4" fontId="0" fillId="0" borderId="99" xfId="0" applyNumberFormat="1" applyBorder="1" applyAlignment="1">
      <alignment/>
    </xf>
    <xf numFmtId="3" fontId="0" fillId="0" borderId="105" xfId="0" applyNumberFormat="1" applyFont="1" applyBorder="1" applyAlignment="1">
      <alignment/>
    </xf>
    <xf numFmtId="3" fontId="60" fillId="0" borderId="120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60" fillId="0" borderId="48" xfId="0" applyNumberFormat="1" applyFont="1" applyBorder="1" applyAlignment="1">
      <alignment/>
    </xf>
    <xf numFmtId="4" fontId="60" fillId="0" borderId="107" xfId="0" applyNumberFormat="1" applyFont="1" applyBorder="1" applyAlignment="1">
      <alignment/>
    </xf>
    <xf numFmtId="0" fontId="0" fillId="10" borderId="0" xfId="0" applyFill="1" applyAlignment="1">
      <alignment/>
    </xf>
    <xf numFmtId="3" fontId="0" fillId="0" borderId="95" xfId="0" applyNumberFormat="1" applyBorder="1" applyAlignment="1">
      <alignment/>
    </xf>
    <xf numFmtId="3" fontId="0" fillId="0" borderId="52" xfId="0" applyNumberFormat="1" applyBorder="1" applyAlignment="1">
      <alignment/>
    </xf>
    <xf numFmtId="4" fontId="0" fillId="0" borderId="95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99" xfId="0" applyNumberFormat="1" applyBorder="1" applyAlignment="1">
      <alignment/>
    </xf>
    <xf numFmtId="3" fontId="0" fillId="0" borderId="74" xfId="0" applyNumberFormat="1" applyFont="1" applyBorder="1" applyAlignment="1">
      <alignment/>
    </xf>
    <xf numFmtId="4" fontId="0" fillId="0" borderId="7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60" fillId="0" borderId="104" xfId="0" applyNumberFormat="1" applyFont="1" applyBorder="1" applyAlignment="1">
      <alignment/>
    </xf>
    <xf numFmtId="3" fontId="60" fillId="0" borderId="85" xfId="0" applyNumberFormat="1" applyFont="1" applyBorder="1" applyAlignment="1">
      <alignment/>
    </xf>
    <xf numFmtId="3" fontId="60" fillId="0" borderId="59" xfId="0" applyNumberFormat="1" applyFont="1" applyBorder="1" applyAlignment="1">
      <alignment/>
    </xf>
    <xf numFmtId="0" fontId="60" fillId="4" borderId="0" xfId="0" applyFont="1" applyFill="1" applyAlignment="1">
      <alignment/>
    </xf>
    <xf numFmtId="3" fontId="0" fillId="0" borderId="92" xfId="0" applyNumberFormat="1" applyFont="1" applyBorder="1" applyAlignment="1">
      <alignment/>
    </xf>
    <xf numFmtId="3" fontId="0" fillId="0" borderId="108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4" fontId="0" fillId="0" borderId="108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4" fontId="0" fillId="0" borderId="75" xfId="0" applyNumberFormat="1" applyFont="1" applyBorder="1" applyAlignment="1">
      <alignment/>
    </xf>
    <xf numFmtId="3" fontId="60" fillId="0" borderId="83" xfId="0" applyNumberFormat="1" applyFont="1" applyBorder="1" applyAlignment="1">
      <alignment/>
    </xf>
    <xf numFmtId="4" fontId="60" fillId="0" borderId="107" xfId="0" applyNumberFormat="1" applyFont="1" applyBorder="1" applyAlignment="1">
      <alignment/>
    </xf>
    <xf numFmtId="0" fontId="72" fillId="0" borderId="0" xfId="24" applyFont="1" applyFill="1">
      <alignment/>
      <protection/>
    </xf>
    <xf numFmtId="0" fontId="16" fillId="0" borderId="0" xfId="24" applyFont="1" applyFill="1">
      <alignment/>
      <protection/>
    </xf>
    <xf numFmtId="0" fontId="16" fillId="0" borderId="0" xfId="0" applyFont="1" applyFill="1" applyBorder="1" applyAlignment="1">
      <alignment/>
    </xf>
    <xf numFmtId="0" fontId="6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47" xfId="0" applyFont="1" applyFill="1" applyBorder="1" applyAlignment="1">
      <alignment horizontal="center" vertical="top" wrapText="1"/>
    </xf>
    <xf numFmtId="0" fontId="25" fillId="0" borderId="49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50" xfId="0" applyFont="1" applyFill="1" applyBorder="1" applyAlignment="1">
      <alignment horizontal="center" vertical="top" wrapText="1"/>
    </xf>
    <xf numFmtId="0" fontId="64" fillId="0" borderId="107" xfId="24" applyFont="1" applyFill="1" applyBorder="1">
      <alignment/>
      <protection/>
    </xf>
    <xf numFmtId="49" fontId="16" fillId="0" borderId="107" xfId="24" applyNumberFormat="1" applyFont="1" applyFill="1" applyBorder="1" applyAlignment="1">
      <alignment horizontal="center"/>
      <protection/>
    </xf>
    <xf numFmtId="49" fontId="16" fillId="0" borderId="48" xfId="24" applyNumberFormat="1" applyFont="1" applyFill="1" applyBorder="1" applyAlignment="1">
      <alignment horizontal="center"/>
      <protection/>
    </xf>
    <xf numFmtId="0" fontId="16" fillId="0" borderId="47" xfId="24" applyFont="1" applyFill="1" applyBorder="1" applyAlignment="1">
      <alignment horizontal="center"/>
      <protection/>
    </xf>
    <xf numFmtId="0" fontId="16" fillId="0" borderId="107" xfId="24" applyFont="1" applyFill="1" applyBorder="1" applyAlignment="1">
      <alignment horizontal="center"/>
      <protection/>
    </xf>
    <xf numFmtId="0" fontId="52" fillId="0" borderId="60" xfId="24" applyFont="1" applyFill="1" applyBorder="1" applyAlignment="1">
      <alignment horizontal="left" wrapText="1"/>
      <protection/>
    </xf>
    <xf numFmtId="3" fontId="52" fillId="0" borderId="60" xfId="0" applyNumberFormat="1" applyFont="1" applyFill="1" applyBorder="1" applyAlignment="1">
      <alignment horizontal="right" vertical="top"/>
    </xf>
    <xf numFmtId="3" fontId="52" fillId="0" borderId="28" xfId="0" applyNumberFormat="1" applyFont="1" applyFill="1" applyBorder="1" applyAlignment="1">
      <alignment horizontal="right" vertical="top"/>
    </xf>
    <xf numFmtId="4" fontId="52" fillId="0" borderId="60" xfId="0" applyNumberFormat="1" applyFont="1" applyFill="1" applyBorder="1" applyAlignment="1">
      <alignment horizontal="right" vertical="top"/>
    </xf>
    <xf numFmtId="10" fontId="52" fillId="0" borderId="109" xfId="0" applyNumberFormat="1" applyFont="1" applyFill="1" applyBorder="1" applyAlignment="1">
      <alignment horizontal="right" vertical="top"/>
    </xf>
    <xf numFmtId="49" fontId="52" fillId="0" borderId="60" xfId="24" applyNumberFormat="1" applyFont="1" applyFill="1" applyBorder="1" applyAlignment="1">
      <alignment horizontal="left" vertical="top" wrapText="1"/>
      <protection/>
    </xf>
    <xf numFmtId="3" fontId="52" fillId="0" borderId="75" xfId="0" applyNumberFormat="1" applyFont="1" applyFill="1" applyBorder="1" applyAlignment="1">
      <alignment horizontal="right" vertical="top"/>
    </xf>
    <xf numFmtId="4" fontId="52" fillId="0" borderId="75" xfId="0" applyNumberFormat="1" applyFont="1" applyFill="1" applyBorder="1" applyAlignment="1">
      <alignment horizontal="right" vertical="top"/>
    </xf>
    <xf numFmtId="3" fontId="52" fillId="0" borderId="71" xfId="0" applyNumberFormat="1" applyFont="1" applyFill="1" applyBorder="1" applyAlignment="1">
      <alignment horizontal="right" vertical="top"/>
    </xf>
    <xf numFmtId="0" fontId="52" fillId="0" borderId="75" xfId="24" applyFont="1" applyFill="1" applyBorder="1" applyAlignment="1">
      <alignment horizontal="left" vertical="top" wrapText="1"/>
      <protection/>
    </xf>
    <xf numFmtId="0" fontId="52" fillId="0" borderId="60" xfId="24" applyFont="1" applyFill="1" applyBorder="1" applyAlignment="1">
      <alignment horizontal="left" vertical="top" wrapText="1"/>
      <protection/>
    </xf>
    <xf numFmtId="49" fontId="73" fillId="0" borderId="0" xfId="0" applyNumberFormat="1" applyFont="1" applyFill="1" applyBorder="1" applyAlignment="1">
      <alignment horizontal="center" vertical="top" textRotation="180" wrapText="1"/>
    </xf>
    <xf numFmtId="0" fontId="64" fillId="0" borderId="107" xfId="24" applyFont="1" applyFill="1" applyBorder="1" applyAlignment="1">
      <alignment horizontal="center"/>
      <protection/>
    </xf>
    <xf numFmtId="3" fontId="52" fillId="0" borderId="107" xfId="0" applyNumberFormat="1" applyFont="1" applyFill="1" applyBorder="1" applyAlignment="1">
      <alignment/>
    </xf>
    <xf numFmtId="4" fontId="52" fillId="0" borderId="107" xfId="0" applyNumberFormat="1" applyFont="1" applyFill="1" applyBorder="1" applyAlignment="1">
      <alignment/>
    </xf>
    <xf numFmtId="0" fontId="52" fillId="0" borderId="0" xfId="0" applyFont="1" applyFill="1" applyAlignment="1">
      <alignment horizontal="left"/>
    </xf>
    <xf numFmtId="0" fontId="64" fillId="0" borderId="0" xfId="31" applyFont="1" applyFill="1">
      <alignment/>
      <protection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60" fillId="0" borderId="46" xfId="0" applyFont="1" applyFill="1" applyBorder="1" applyAlignment="1">
      <alignment horizontal="center"/>
    </xf>
    <xf numFmtId="0" fontId="76" fillId="0" borderId="107" xfId="0" applyFont="1" applyFill="1" applyBorder="1" applyAlignment="1">
      <alignment/>
    </xf>
    <xf numFmtId="0" fontId="76" fillId="0" borderId="49" xfId="0" applyFont="1" applyFill="1" applyBorder="1" applyAlignment="1">
      <alignment/>
    </xf>
    <xf numFmtId="0" fontId="76" fillId="0" borderId="107" xfId="0" applyFont="1" applyFill="1" applyBorder="1" applyAlignment="1">
      <alignment horizontal="centerContinuous"/>
    </xf>
    <xf numFmtId="0" fontId="76" fillId="0" borderId="49" xfId="0" applyFont="1" applyFill="1" applyBorder="1" applyAlignment="1">
      <alignment horizontal="centerContinuous"/>
    </xf>
    <xf numFmtId="0" fontId="76" fillId="0" borderId="48" xfId="0" applyFont="1" applyFill="1" applyBorder="1" applyAlignment="1">
      <alignment horizontal="centerContinuous"/>
    </xf>
    <xf numFmtId="0" fontId="60" fillId="0" borderId="48" xfId="0" applyFont="1" applyFill="1" applyBorder="1" applyAlignment="1">
      <alignment horizontal="left"/>
    </xf>
    <xf numFmtId="0" fontId="60" fillId="0" borderId="48" xfId="0" applyFont="1" applyFill="1" applyBorder="1" applyAlignment="1">
      <alignment horizontal="left"/>
    </xf>
    <xf numFmtId="0" fontId="60" fillId="0" borderId="49" xfId="0" applyFont="1" applyFill="1" applyBorder="1" applyAlignment="1">
      <alignment horizontal="left"/>
    </xf>
    <xf numFmtId="0" fontId="77" fillId="0" borderId="76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107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6" xfId="0" applyFill="1" applyBorder="1" applyAlignment="1">
      <alignment/>
    </xf>
    <xf numFmtId="0" fontId="0" fillId="0" borderId="107" xfId="0" applyFont="1" applyFill="1" applyBorder="1" applyAlignment="1">
      <alignment/>
    </xf>
    <xf numFmtId="3" fontId="60" fillId="0" borderId="107" xfId="0" applyNumberFormat="1" applyFont="1" applyFill="1" applyBorder="1" applyAlignment="1">
      <alignment/>
    </xf>
    <xf numFmtId="4" fontId="60" fillId="0" borderId="107" xfId="0" applyNumberFormat="1" applyFont="1" applyFill="1" applyBorder="1" applyAlignment="1">
      <alignment/>
    </xf>
    <xf numFmtId="0" fontId="0" fillId="0" borderId="108" xfId="0" applyFill="1" applyBorder="1" applyAlignment="1">
      <alignment/>
    </xf>
    <xf numFmtId="3" fontId="0" fillId="0" borderId="108" xfId="0" applyNumberFormat="1" applyFill="1" applyBorder="1" applyAlignment="1">
      <alignment/>
    </xf>
    <xf numFmtId="4" fontId="0" fillId="0" borderId="108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0" fontId="0" fillId="0" borderId="60" xfId="0" applyFill="1" applyBorder="1" applyAlignment="1">
      <alignment/>
    </xf>
    <xf numFmtId="3" fontId="0" fillId="0" borderId="60" xfId="0" applyNumberFormat="1" applyFill="1" applyBorder="1" applyAlignment="1">
      <alignment/>
    </xf>
    <xf numFmtId="4" fontId="0" fillId="0" borderId="60" xfId="0" applyNumberFormat="1" applyFill="1" applyBorder="1" applyAlignment="1">
      <alignment/>
    </xf>
    <xf numFmtId="0" fontId="0" fillId="0" borderId="109" xfId="0" applyFill="1" applyBorder="1" applyAlignment="1">
      <alignment/>
    </xf>
    <xf numFmtId="3" fontId="0" fillId="0" borderId="75" xfId="0" applyNumberFormat="1" applyFill="1" applyBorder="1" applyAlignment="1">
      <alignment/>
    </xf>
    <xf numFmtId="4" fontId="0" fillId="0" borderId="75" xfId="0" applyNumberFormat="1" applyFill="1" applyBorder="1" applyAlignment="1">
      <alignment/>
    </xf>
    <xf numFmtId="0" fontId="0" fillId="0" borderId="103" xfId="0" applyFill="1" applyBorder="1" applyAlignment="1">
      <alignment/>
    </xf>
    <xf numFmtId="3" fontId="0" fillId="0" borderId="103" xfId="0" applyNumberFormat="1" applyFill="1" applyBorder="1" applyAlignment="1">
      <alignment/>
    </xf>
    <xf numFmtId="4" fontId="0" fillId="0" borderId="103" xfId="0" applyNumberFormat="1" applyFill="1" applyBorder="1" applyAlignment="1">
      <alignment/>
    </xf>
    <xf numFmtId="0" fontId="0" fillId="0" borderId="91" xfId="0" applyFill="1" applyBorder="1" applyAlignment="1">
      <alignment/>
    </xf>
    <xf numFmtId="0" fontId="0" fillId="0" borderId="107" xfId="0" applyFill="1" applyBorder="1" applyAlignment="1">
      <alignment/>
    </xf>
    <xf numFmtId="3" fontId="0" fillId="0" borderId="107" xfId="0" applyNumberFormat="1" applyFill="1" applyBorder="1" applyAlignment="1">
      <alignment/>
    </xf>
    <xf numFmtId="4" fontId="0" fillId="0" borderId="107" xfId="0" applyNumberFormat="1" applyFill="1" applyBorder="1" applyAlignment="1">
      <alignment/>
    </xf>
    <xf numFmtId="0" fontId="0" fillId="0" borderId="49" xfId="0" applyFill="1" applyBorder="1" applyAlignment="1">
      <alignment/>
    </xf>
    <xf numFmtId="0" fontId="60" fillId="0" borderId="107" xfId="0" applyFont="1" applyFill="1" applyBorder="1" applyAlignment="1">
      <alignment/>
    </xf>
    <xf numFmtId="3" fontId="60" fillId="0" borderId="47" xfId="0" applyNumberFormat="1" applyFont="1" applyFill="1" applyBorder="1" applyAlignment="1">
      <alignment/>
    </xf>
    <xf numFmtId="4" fontId="60" fillId="0" borderId="47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3" fontId="60" fillId="0" borderId="60" xfId="0" applyNumberFormat="1" applyFont="1" applyFill="1" applyBorder="1" applyAlignment="1">
      <alignment/>
    </xf>
    <xf numFmtId="4" fontId="60" fillId="0" borderId="60" xfId="0" applyNumberFormat="1" applyFont="1" applyFill="1" applyBorder="1" applyAlignment="1">
      <alignment/>
    </xf>
    <xf numFmtId="3" fontId="60" fillId="0" borderId="109" xfId="0" applyNumberFormat="1" applyFont="1" applyFill="1" applyBorder="1" applyAlignment="1">
      <alignment/>
    </xf>
    <xf numFmtId="164" fontId="60" fillId="0" borderId="60" xfId="0" applyNumberFormat="1" applyFont="1" applyFill="1" applyBorder="1" applyAlignment="1">
      <alignment/>
    </xf>
    <xf numFmtId="0" fontId="0" fillId="0" borderId="75" xfId="0" applyFill="1" applyBorder="1" applyAlignment="1">
      <alignment/>
    </xf>
    <xf numFmtId="3" fontId="0" fillId="0" borderId="67" xfId="0" applyNumberFormat="1" applyFill="1" applyBorder="1" applyAlignment="1">
      <alignment/>
    </xf>
    <xf numFmtId="0" fontId="0" fillId="0" borderId="67" xfId="0" applyFill="1" applyBorder="1" applyAlignment="1">
      <alignment/>
    </xf>
    <xf numFmtId="3" fontId="0" fillId="0" borderId="91" xfId="0" applyNumberFormat="1" applyFill="1" applyBorder="1" applyAlignment="1">
      <alignment/>
    </xf>
    <xf numFmtId="3" fontId="60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2" fillId="0" borderId="0" xfId="0" applyFont="1" applyFill="1" applyBorder="1" applyAlignment="1">
      <alignment/>
    </xf>
    <xf numFmtId="0" fontId="25" fillId="0" borderId="48" xfId="0" applyFont="1" applyFill="1" applyBorder="1" applyAlignment="1">
      <alignment horizontal="center" vertical="top" wrapText="1"/>
    </xf>
    <xf numFmtId="0" fontId="25" fillId="0" borderId="107" xfId="0" applyFont="1" applyFill="1" applyBorder="1" applyAlignment="1">
      <alignment horizontal="center" vertical="top" wrapText="1"/>
    </xf>
    <xf numFmtId="0" fontId="64" fillId="0" borderId="60" xfId="23" applyFont="1" applyFill="1" applyBorder="1">
      <alignment/>
      <protection/>
    </xf>
    <xf numFmtId="0" fontId="16" fillId="0" borderId="28" xfId="23" applyFont="1" applyFill="1" applyBorder="1" applyAlignment="1">
      <alignment horizontal="center"/>
      <protection/>
    </xf>
    <xf numFmtId="0" fontId="16" fillId="0" borderId="60" xfId="23" applyFont="1" applyFill="1" applyBorder="1" applyAlignment="1">
      <alignment horizontal="center"/>
      <protection/>
    </xf>
    <xf numFmtId="0" fontId="16" fillId="0" borderId="109" xfId="23" applyFont="1" applyFill="1" applyBorder="1" applyAlignment="1">
      <alignment horizontal="center"/>
      <protection/>
    </xf>
    <xf numFmtId="0" fontId="64" fillId="0" borderId="60" xfId="23" applyFont="1" applyFill="1" applyBorder="1" applyAlignment="1">
      <alignment horizontal="left"/>
      <protection/>
    </xf>
    <xf numFmtId="4" fontId="52" fillId="0" borderId="60" xfId="0" applyNumberFormat="1" applyFont="1" applyFill="1" applyBorder="1" applyAlignment="1">
      <alignment/>
    </xf>
    <xf numFmtId="4" fontId="52" fillId="0" borderId="28" xfId="0" applyNumberFormat="1" applyFont="1" applyFill="1" applyBorder="1" applyAlignment="1">
      <alignment/>
    </xf>
    <xf numFmtId="10" fontId="52" fillId="0" borderId="67" xfId="0" applyNumberFormat="1" applyFont="1" applyFill="1" applyBorder="1" applyAlignment="1">
      <alignment/>
    </xf>
    <xf numFmtId="49" fontId="64" fillId="0" borderId="60" xfId="23" applyNumberFormat="1" applyFont="1" applyFill="1" applyBorder="1" applyAlignment="1">
      <alignment horizontal="left"/>
      <protection/>
    </xf>
    <xf numFmtId="4" fontId="52" fillId="0" borderId="75" xfId="0" applyNumberFormat="1" applyFont="1" applyFill="1" applyBorder="1" applyAlignment="1">
      <alignment/>
    </xf>
    <xf numFmtId="4" fontId="52" fillId="0" borderId="71" xfId="0" applyNumberFormat="1" applyFont="1" applyFill="1" applyBorder="1" applyAlignment="1">
      <alignment/>
    </xf>
    <xf numFmtId="49" fontId="64" fillId="0" borderId="60" xfId="23" applyNumberFormat="1" applyFont="1" applyFill="1" applyBorder="1">
      <alignment/>
      <protection/>
    </xf>
    <xf numFmtId="49" fontId="64" fillId="0" borderId="50" xfId="23" applyNumberFormat="1" applyFont="1" applyFill="1" applyBorder="1">
      <alignment/>
      <protection/>
    </xf>
    <xf numFmtId="4" fontId="52" fillId="0" borderId="99" xfId="0" applyNumberFormat="1" applyFont="1" applyFill="1" applyBorder="1" applyAlignment="1">
      <alignment/>
    </xf>
    <xf numFmtId="4" fontId="52" fillId="0" borderId="79" xfId="0" applyNumberFormat="1" applyFont="1" applyFill="1" applyBorder="1" applyAlignment="1">
      <alignment/>
    </xf>
    <xf numFmtId="49" fontId="64" fillId="0" borderId="107" xfId="23" applyNumberFormat="1" applyFont="1" applyFill="1" applyBorder="1">
      <alignment/>
      <protection/>
    </xf>
    <xf numFmtId="3" fontId="52" fillId="0" borderId="48" xfId="0" applyNumberFormat="1" applyFont="1" applyFill="1" applyBorder="1" applyAlignment="1">
      <alignment/>
    </xf>
    <xf numFmtId="49" fontId="73" fillId="0" borderId="0" xfId="0" applyNumberFormat="1" applyFont="1" applyFill="1" applyBorder="1" applyAlignment="1">
      <alignment horizontal="right" vertical="top" textRotation="180" wrapText="1"/>
    </xf>
    <xf numFmtId="0" fontId="16" fillId="0" borderId="0" xfId="23" applyFont="1" applyFill="1">
      <alignment/>
      <protection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25" fillId="0" borderId="0" xfId="0" applyFont="1" applyAlignment="1">
      <alignment/>
    </xf>
    <xf numFmtId="0" fontId="78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46" xfId="0" applyFont="1" applyBorder="1" applyAlignment="1">
      <alignment/>
    </xf>
    <xf numFmtId="0" fontId="25" fillId="0" borderId="47" xfId="0" applyFont="1" applyBorder="1" applyAlignment="1">
      <alignment horizontal="left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16" fillId="0" borderId="49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6" fillId="0" borderId="55" xfId="0" applyFont="1" applyBorder="1" applyAlignment="1">
      <alignment/>
    </xf>
    <xf numFmtId="0" fontId="78" fillId="0" borderId="4" xfId="0" applyFont="1" applyBorder="1" applyAlignment="1">
      <alignment horizontal="center"/>
    </xf>
    <xf numFmtId="0" fontId="78" fillId="0" borderId="56" xfId="0" applyFont="1" applyBorder="1" applyAlignment="1">
      <alignment horizontal="center"/>
    </xf>
    <xf numFmtId="0" fontId="78" fillId="0" borderId="6" xfId="0" applyFont="1" applyBorder="1" applyAlignment="1">
      <alignment horizontal="center"/>
    </xf>
    <xf numFmtId="0" fontId="78" fillId="0" borderId="7" xfId="0" applyFont="1" applyBorder="1" applyAlignment="1">
      <alignment horizontal="center"/>
    </xf>
    <xf numFmtId="0" fontId="79" fillId="0" borderId="5" xfId="0" applyFont="1" applyBorder="1" applyAlignment="1">
      <alignment horizontal="center"/>
    </xf>
    <xf numFmtId="0" fontId="78" fillId="0" borderId="57" xfId="0" applyFont="1" applyBorder="1" applyAlignment="1">
      <alignment horizontal="center"/>
    </xf>
    <xf numFmtId="0" fontId="78" fillId="0" borderId="58" xfId="0" applyFont="1" applyBorder="1" applyAlignment="1">
      <alignment horizontal="center"/>
    </xf>
    <xf numFmtId="0" fontId="78" fillId="0" borderId="5" xfId="0" applyFont="1" applyBorder="1" applyAlignment="1">
      <alignment horizontal="center"/>
    </xf>
    <xf numFmtId="0" fontId="78" fillId="0" borderId="59" xfId="0" applyFont="1" applyBorder="1" applyAlignment="1">
      <alignment horizontal="center"/>
    </xf>
    <xf numFmtId="0" fontId="79" fillId="0" borderId="56" xfId="0" applyFont="1" applyBorder="1" applyAlignment="1">
      <alignment horizontal="center"/>
    </xf>
    <xf numFmtId="4" fontId="78" fillId="0" borderId="5" xfId="0" applyNumberFormat="1" applyFont="1" applyBorder="1" applyAlignment="1">
      <alignment horizontal="center"/>
    </xf>
    <xf numFmtId="0" fontId="79" fillId="0" borderId="7" xfId="0" applyFont="1" applyBorder="1" applyAlignment="1">
      <alignment horizontal="center"/>
    </xf>
    <xf numFmtId="0" fontId="16" fillId="0" borderId="56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16" fillId="4" borderId="60" xfId="0" applyFont="1" applyFill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53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6" fillId="0" borderId="64" xfId="0" applyNumberFormat="1" applyFont="1" applyBorder="1" applyAlignment="1">
      <alignment/>
    </xf>
    <xf numFmtId="3" fontId="16" fillId="0" borderId="54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6" fillId="0" borderId="65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3" fontId="16" fillId="0" borderId="69" xfId="0" applyNumberFormat="1" applyFont="1" applyBorder="1" applyAlignment="1">
      <alignment/>
    </xf>
    <xf numFmtId="3" fontId="16" fillId="0" borderId="70" xfId="0" applyNumberFormat="1" applyFont="1" applyBorder="1" applyAlignment="1">
      <alignment/>
    </xf>
    <xf numFmtId="3" fontId="16" fillId="0" borderId="67" xfId="0" applyNumberFormat="1" applyFont="1" applyBorder="1" applyAlignment="1">
      <alignment/>
    </xf>
    <xf numFmtId="3" fontId="16" fillId="0" borderId="66" xfId="0" applyNumberFormat="1" applyFont="1" applyBorder="1" applyAlignment="1">
      <alignment/>
    </xf>
    <xf numFmtId="3" fontId="16" fillId="0" borderId="71" xfId="0" applyNumberFormat="1" applyFont="1" applyBorder="1" applyAlignment="1">
      <alignment/>
    </xf>
    <xf numFmtId="3" fontId="16" fillId="0" borderId="72" xfId="0" applyNumberFormat="1" applyFont="1" applyBorder="1" applyAlignment="1">
      <alignment/>
    </xf>
    <xf numFmtId="3" fontId="16" fillId="0" borderId="73" xfId="0" applyNumberFormat="1" applyFont="1" applyBorder="1" applyAlignment="1">
      <alignment/>
    </xf>
    <xf numFmtId="3" fontId="16" fillId="0" borderId="74" xfId="0" applyNumberFormat="1" applyFont="1" applyBorder="1" applyAlignment="1">
      <alignment/>
    </xf>
    <xf numFmtId="0" fontId="16" fillId="4" borderId="75" xfId="0" applyFont="1" applyFill="1" applyBorder="1" applyAlignment="1">
      <alignment/>
    </xf>
    <xf numFmtId="3" fontId="16" fillId="0" borderId="76" xfId="0" applyNumberFormat="1" applyFont="1" applyBorder="1" applyAlignment="1">
      <alignment/>
    </xf>
    <xf numFmtId="0" fontId="24" fillId="4" borderId="107" xfId="0" applyFont="1" applyFill="1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84" xfId="0" applyNumberFormat="1" applyFont="1" applyBorder="1" applyAlignment="1">
      <alignment/>
    </xf>
    <xf numFmtId="3" fontId="25" fillId="0" borderId="85" xfId="0" applyNumberFormat="1" applyFont="1" applyBorder="1" applyAlignment="1">
      <alignment/>
    </xf>
    <xf numFmtId="3" fontId="25" fillId="0" borderId="86" xfId="0" applyNumberFormat="1" applyFont="1" applyBorder="1" applyAlignment="1">
      <alignment/>
    </xf>
    <xf numFmtId="3" fontId="25" fillId="0" borderId="83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3" fontId="25" fillId="0" borderId="49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0" fontId="24" fillId="4" borderId="0" xfId="0" applyFont="1" applyFill="1" applyBorder="1" applyAlignment="1">
      <alignment/>
    </xf>
    <xf numFmtId="2" fontId="25" fillId="0" borderId="0" xfId="0" applyNumberFormat="1" applyFont="1" applyBorder="1" applyAlignment="1">
      <alignment/>
    </xf>
    <xf numFmtId="0" fontId="80" fillId="0" borderId="0" xfId="0" applyFont="1" applyAlignment="1">
      <alignment/>
    </xf>
    <xf numFmtId="4" fontId="16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72" fillId="0" borderId="121" xfId="0" applyFont="1" applyBorder="1" applyAlignment="1">
      <alignment/>
    </xf>
    <xf numFmtId="0" fontId="72" fillId="0" borderId="122" xfId="0" applyFont="1" applyBorder="1" applyAlignment="1">
      <alignment/>
    </xf>
    <xf numFmtId="0" fontId="16" fillId="0" borderId="123" xfId="0" applyFont="1" applyBorder="1" applyAlignment="1">
      <alignment/>
    </xf>
    <xf numFmtId="0" fontId="72" fillId="0" borderId="124" xfId="0" applyFont="1" applyBorder="1" applyAlignment="1">
      <alignment/>
    </xf>
    <xf numFmtId="0" fontId="72" fillId="0" borderId="125" xfId="0" applyFont="1" applyBorder="1" applyAlignment="1">
      <alignment/>
    </xf>
    <xf numFmtId="0" fontId="72" fillId="0" borderId="126" xfId="0" applyFont="1" applyBorder="1" applyAlignment="1">
      <alignment/>
    </xf>
    <xf numFmtId="0" fontId="16" fillId="0" borderId="127" xfId="0" applyFont="1" applyBorder="1" applyAlignment="1">
      <alignment/>
    </xf>
    <xf numFmtId="0" fontId="72" fillId="0" borderId="127" xfId="0" applyFont="1" applyBorder="1" applyAlignment="1">
      <alignment/>
    </xf>
    <xf numFmtId="0" fontId="16" fillId="0" borderId="127" xfId="0" applyFont="1" applyBorder="1" applyAlignment="1">
      <alignment horizontal="left"/>
    </xf>
    <xf numFmtId="0" fontId="16" fillId="0" borderId="118" xfId="0" applyFont="1" applyBorder="1" applyAlignment="1">
      <alignment/>
    </xf>
    <xf numFmtId="0" fontId="16" fillId="0" borderId="124" xfId="0" applyFont="1" applyBorder="1" applyAlignment="1">
      <alignment/>
    </xf>
    <xf numFmtId="0" fontId="16" fillId="0" borderId="122" xfId="0" applyFont="1" applyBorder="1" applyAlignment="1">
      <alignment/>
    </xf>
    <xf numFmtId="0" fontId="16" fillId="0" borderId="126" xfId="0" applyFont="1" applyBorder="1" applyAlignment="1">
      <alignment/>
    </xf>
    <xf numFmtId="0" fontId="16" fillId="0" borderId="128" xfId="0" applyFont="1" applyBorder="1" applyAlignment="1">
      <alignment/>
    </xf>
    <xf numFmtId="0" fontId="24" fillId="0" borderId="127" xfId="0" applyFont="1" applyBorder="1" applyAlignment="1">
      <alignment horizontal="centerContinuous"/>
    </xf>
    <xf numFmtId="0" fontId="16" fillId="0" borderId="125" xfId="0" applyFont="1" applyBorder="1" applyAlignment="1">
      <alignment/>
    </xf>
    <xf numFmtId="0" fontId="16" fillId="0" borderId="129" xfId="0" applyFont="1" applyBorder="1" applyAlignment="1">
      <alignment/>
    </xf>
    <xf numFmtId="0" fontId="24" fillId="0" borderId="13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6" fillId="0" borderId="131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4" fillId="0" borderId="7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2" xfId="0" applyFont="1" applyBorder="1" applyAlignment="1">
      <alignment horizontal="centerContinuous"/>
    </xf>
    <xf numFmtId="0" fontId="24" fillId="0" borderId="50" xfId="0" applyFont="1" applyBorder="1" applyAlignment="1">
      <alignment horizontal="centerContinuous"/>
    </xf>
    <xf numFmtId="0" fontId="24" fillId="0" borderId="21" xfId="0" applyFont="1" applyBorder="1" applyAlignment="1">
      <alignment horizontal="center"/>
    </xf>
    <xf numFmtId="0" fontId="16" fillId="0" borderId="76" xfId="0" applyFont="1" applyBorder="1" applyAlignment="1">
      <alignment/>
    </xf>
    <xf numFmtId="0" fontId="24" fillId="0" borderId="5" xfId="0" applyFont="1" applyBorder="1" applyAlignment="1">
      <alignment horizontal="centerContinuous"/>
    </xf>
    <xf numFmtId="0" fontId="24" fillId="0" borderId="6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16" fillId="0" borderId="3" xfId="0" applyFont="1" applyBorder="1" applyAlignment="1">
      <alignment/>
    </xf>
    <xf numFmtId="0" fontId="24" fillId="0" borderId="132" xfId="0" applyFont="1" applyBorder="1" applyAlignment="1">
      <alignment horizontal="centerContinuous"/>
    </xf>
    <xf numFmtId="0" fontId="16" fillId="0" borderId="3" xfId="0" applyFont="1" applyBorder="1" applyAlignment="1">
      <alignment horizontal="left"/>
    </xf>
    <xf numFmtId="0" fontId="24" fillId="0" borderId="133" xfId="0" applyFont="1" applyBorder="1" applyAlignment="1">
      <alignment horizontal="centerContinuous"/>
    </xf>
    <xf numFmtId="0" fontId="16" fillId="0" borderId="134" xfId="0" applyFont="1" applyBorder="1" applyAlignment="1">
      <alignment/>
    </xf>
    <xf numFmtId="0" fontId="25" fillId="0" borderId="0" xfId="0" applyFont="1" applyAlignment="1">
      <alignment/>
    </xf>
    <xf numFmtId="0" fontId="24" fillId="0" borderId="130" xfId="0" applyFont="1" applyBorder="1" applyAlignment="1">
      <alignment/>
    </xf>
    <xf numFmtId="0" fontId="24" fillId="0" borderId="50" xfId="0" applyFont="1" applyBorder="1" applyAlignment="1">
      <alignment/>
    </xf>
    <xf numFmtId="0" fontId="16" fillId="0" borderId="135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4" fillId="0" borderId="50" xfId="0" applyFont="1" applyBorder="1" applyAlignment="1">
      <alignment horizontal="left"/>
    </xf>
    <xf numFmtId="0" fontId="24" fillId="0" borderId="0" xfId="0" applyFont="1" applyBorder="1" applyAlignment="1">
      <alignment horizontal="centerContinuous"/>
    </xf>
    <xf numFmtId="0" fontId="24" fillId="0" borderId="21" xfId="0" applyFont="1" applyBorder="1" applyAlignment="1">
      <alignment horizontal="centerContinuous"/>
    </xf>
    <xf numFmtId="0" fontId="24" fillId="0" borderId="136" xfId="0" applyFont="1" applyBorder="1" applyAlignment="1">
      <alignment horizontal="centerContinuous"/>
    </xf>
    <xf numFmtId="0" fontId="24" fillId="0" borderId="135" xfId="0" applyFont="1" applyBorder="1" applyAlignment="1">
      <alignment horizontal="center"/>
    </xf>
    <xf numFmtId="0" fontId="25" fillId="0" borderId="134" xfId="0" applyFont="1" applyBorder="1" applyAlignment="1">
      <alignment horizontal="center"/>
    </xf>
    <xf numFmtId="0" fontId="24" fillId="0" borderId="137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55" xfId="0" applyFont="1" applyBorder="1" applyAlignment="1">
      <alignment horizontal="center"/>
    </xf>
    <xf numFmtId="0" fontId="16" fillId="0" borderId="138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81" fillId="0" borderId="55" xfId="0" applyFont="1" applyBorder="1" applyAlignment="1">
      <alignment/>
    </xf>
    <xf numFmtId="0" fontId="24" fillId="0" borderId="55" xfId="0" applyFont="1" applyBorder="1" applyAlignment="1">
      <alignment horizontal="centerContinuous"/>
    </xf>
    <xf numFmtId="0" fontId="16" fillId="0" borderId="49" xfId="0" applyFont="1" applyBorder="1" applyAlignment="1">
      <alignment horizontal="centerContinuous"/>
    </xf>
    <xf numFmtId="0" fontId="24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31" xfId="0" applyFont="1" applyBorder="1" applyAlignment="1">
      <alignment horizontal="center"/>
    </xf>
    <xf numFmtId="0" fontId="24" fillId="0" borderId="138" xfId="0" applyFont="1" applyBorder="1" applyAlignment="1">
      <alignment horizontal="center"/>
    </xf>
    <xf numFmtId="0" fontId="25" fillId="0" borderId="139" xfId="0" applyFont="1" applyBorder="1" applyAlignment="1">
      <alignment horizontal="center"/>
    </xf>
    <xf numFmtId="10" fontId="16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16" fillId="0" borderId="0" xfId="0" applyFont="1" applyAlignment="1">
      <alignment vertical="justify"/>
    </xf>
    <xf numFmtId="0" fontId="72" fillId="0" borderId="140" xfId="0" applyFont="1" applyBorder="1" applyAlignment="1">
      <alignment/>
    </xf>
    <xf numFmtId="3" fontId="72" fillId="0" borderId="108" xfId="0" applyNumberFormat="1" applyFont="1" applyBorder="1" applyAlignment="1">
      <alignment/>
    </xf>
    <xf numFmtId="3" fontId="72" fillId="0" borderId="141" xfId="0" applyNumberFormat="1" applyFont="1" applyBorder="1" applyAlignment="1">
      <alignment/>
    </xf>
    <xf numFmtId="4" fontId="72" fillId="0" borderId="96" xfId="0" applyNumberFormat="1" applyFont="1" applyBorder="1" applyAlignment="1">
      <alignment/>
    </xf>
    <xf numFmtId="4" fontId="72" fillId="0" borderId="108" xfId="0" applyNumberFormat="1" applyFont="1" applyBorder="1" applyAlignment="1">
      <alignment/>
    </xf>
    <xf numFmtId="3" fontId="72" fillId="0" borderId="63" xfId="0" applyNumberFormat="1" applyFont="1" applyBorder="1" applyAlignment="1">
      <alignment/>
    </xf>
    <xf numFmtId="3" fontId="72" fillId="0" borderId="96" xfId="0" applyNumberFormat="1" applyFont="1" applyBorder="1" applyAlignment="1">
      <alignment/>
    </xf>
    <xf numFmtId="3" fontId="72" fillId="0" borderId="95" xfId="0" applyNumberFormat="1" applyFont="1" applyBorder="1" applyAlignment="1">
      <alignment/>
    </xf>
    <xf numFmtId="3" fontId="72" fillId="0" borderId="62" xfId="0" applyNumberFormat="1" applyFont="1" applyBorder="1" applyAlignment="1">
      <alignment/>
    </xf>
    <xf numFmtId="3" fontId="72" fillId="0" borderId="94" xfId="0" applyNumberFormat="1" applyFont="1" applyBorder="1" applyAlignment="1">
      <alignment/>
    </xf>
    <xf numFmtId="0" fontId="72" fillId="0" borderId="142" xfId="0" applyFont="1" applyBorder="1" applyAlignment="1">
      <alignment/>
    </xf>
    <xf numFmtId="3" fontId="72" fillId="0" borderId="60" xfId="0" applyNumberFormat="1" applyFont="1" applyBorder="1" applyAlignment="1">
      <alignment/>
    </xf>
    <xf numFmtId="3" fontId="72" fillId="0" borderId="143" xfId="0" applyNumberFormat="1" applyFont="1" applyBorder="1" applyAlignment="1">
      <alignment/>
    </xf>
    <xf numFmtId="4" fontId="72" fillId="0" borderId="28" xfId="0" applyNumberFormat="1" applyFont="1" applyBorder="1" applyAlignment="1">
      <alignment/>
    </xf>
    <xf numFmtId="4" fontId="72" fillId="0" borderId="60" xfId="0" applyNumberFormat="1" applyFont="1" applyBorder="1" applyAlignment="1">
      <alignment/>
    </xf>
    <xf numFmtId="3" fontId="72" fillId="0" borderId="109" xfId="0" applyNumberFormat="1" applyFont="1" applyBorder="1" applyAlignment="1">
      <alignment/>
    </xf>
    <xf numFmtId="3" fontId="72" fillId="0" borderId="28" xfId="0" applyNumberFormat="1" applyFont="1" applyBorder="1" applyAlignment="1">
      <alignment/>
    </xf>
    <xf numFmtId="3" fontId="72" fillId="0" borderId="75" xfId="0" applyNumberFormat="1" applyFont="1" applyBorder="1" applyAlignment="1">
      <alignment/>
    </xf>
    <xf numFmtId="3" fontId="72" fillId="0" borderId="74" xfId="0" applyNumberFormat="1" applyFont="1" applyBorder="1" applyAlignment="1">
      <alignment/>
    </xf>
    <xf numFmtId="3" fontId="72" fillId="0" borderId="67" xfId="0" applyNumberFormat="1" applyFont="1" applyBorder="1" applyAlignment="1">
      <alignment/>
    </xf>
    <xf numFmtId="3" fontId="72" fillId="0" borderId="75" xfId="0" applyNumberFormat="1" applyFont="1" applyBorder="1" applyAlignment="1">
      <alignment horizontal="right"/>
    </xf>
    <xf numFmtId="3" fontId="72" fillId="0" borderId="70" xfId="0" applyNumberFormat="1" applyFont="1" applyBorder="1" applyAlignment="1">
      <alignment/>
    </xf>
    <xf numFmtId="3" fontId="72" fillId="0" borderId="71" xfId="0" applyNumberFormat="1" applyFont="1" applyBorder="1" applyAlignment="1">
      <alignment/>
    </xf>
    <xf numFmtId="3" fontId="72" fillId="0" borderId="144" xfId="0" applyNumberFormat="1" applyFont="1" applyBorder="1" applyAlignment="1">
      <alignment/>
    </xf>
    <xf numFmtId="3" fontId="72" fillId="0" borderId="66" xfId="0" applyNumberFormat="1" applyFont="1" applyBorder="1" applyAlignment="1">
      <alignment/>
    </xf>
    <xf numFmtId="3" fontId="72" fillId="0" borderId="60" xfId="0" applyNumberFormat="1" applyFont="1" applyBorder="1" applyAlignment="1">
      <alignment horizontal="right"/>
    </xf>
    <xf numFmtId="3" fontId="72" fillId="0" borderId="72" xfId="0" applyNumberFormat="1" applyFont="1" applyBorder="1" applyAlignment="1">
      <alignment/>
    </xf>
    <xf numFmtId="0" fontId="16" fillId="0" borderId="130" xfId="0" applyFont="1" applyBorder="1" applyAlignment="1">
      <alignment/>
    </xf>
    <xf numFmtId="3" fontId="72" fillId="0" borderId="50" xfId="0" applyNumberFormat="1" applyFont="1" applyBorder="1" applyAlignment="1">
      <alignment/>
    </xf>
    <xf numFmtId="3" fontId="72" fillId="0" borderId="135" xfId="0" applyNumberFormat="1" applyFont="1" applyBorder="1" applyAlignment="1">
      <alignment/>
    </xf>
    <xf numFmtId="4" fontId="72" fillId="0" borderId="0" xfId="0" applyNumberFormat="1" applyFont="1" applyBorder="1" applyAlignment="1">
      <alignment/>
    </xf>
    <xf numFmtId="4" fontId="72" fillId="0" borderId="50" xfId="0" applyNumberFormat="1" applyFont="1" applyBorder="1" applyAlignment="1">
      <alignment/>
    </xf>
    <xf numFmtId="3" fontId="72" fillId="0" borderId="21" xfId="0" applyNumberFormat="1" applyFont="1" applyBorder="1" applyAlignment="1">
      <alignment/>
    </xf>
    <xf numFmtId="3" fontId="72" fillId="0" borderId="0" xfId="0" applyNumberFormat="1" applyFont="1" applyBorder="1" applyAlignment="1">
      <alignment/>
    </xf>
    <xf numFmtId="0" fontId="82" fillId="0" borderId="145" xfId="0" applyFont="1" applyBorder="1" applyAlignment="1">
      <alignment/>
    </xf>
    <xf numFmtId="3" fontId="72" fillId="0" borderId="107" xfId="0" applyNumberFormat="1" applyFont="1" applyBorder="1" applyAlignment="1">
      <alignment/>
    </xf>
    <xf numFmtId="3" fontId="72" fillId="0" borderId="146" xfId="0" applyNumberFormat="1" applyFont="1" applyBorder="1" applyAlignment="1">
      <alignment/>
    </xf>
    <xf numFmtId="3" fontId="24" fillId="0" borderId="107" xfId="0" applyNumberFormat="1" applyFont="1" applyBorder="1" applyAlignment="1">
      <alignment/>
    </xf>
    <xf numFmtId="3" fontId="24" fillId="0" borderId="107" xfId="0" applyNumberFormat="1" applyFont="1" applyBorder="1" applyAlignment="1">
      <alignment/>
    </xf>
    <xf numFmtId="3" fontId="72" fillId="0" borderId="48" xfId="0" applyNumberFormat="1" applyFont="1" applyBorder="1" applyAlignment="1">
      <alignment/>
    </xf>
    <xf numFmtId="3" fontId="72" fillId="0" borderId="49" xfId="0" applyNumberFormat="1" applyFont="1" applyBorder="1" applyAlignment="1">
      <alignment/>
    </xf>
    <xf numFmtId="3" fontId="24" fillId="0" borderId="134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72" fillId="0" borderId="147" xfId="0" applyFont="1" applyBorder="1" applyAlignment="1">
      <alignment/>
    </xf>
    <xf numFmtId="3" fontId="24" fillId="0" borderId="67" xfId="0" applyNumberFormat="1" applyFont="1" applyBorder="1" applyAlignment="1">
      <alignment/>
    </xf>
    <xf numFmtId="3" fontId="24" fillId="0" borderId="75" xfId="0" applyNumberFormat="1" applyFont="1" applyBorder="1" applyAlignment="1">
      <alignment/>
    </xf>
    <xf numFmtId="3" fontId="16" fillId="0" borderId="148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24" fillId="0" borderId="49" xfId="0" applyNumberFormat="1" applyFont="1" applyBorder="1" applyAlignment="1">
      <alignment/>
    </xf>
    <xf numFmtId="3" fontId="24" fillId="0" borderId="148" xfId="0" applyNumberFormat="1" applyFont="1" applyBorder="1" applyAlignment="1">
      <alignment/>
    </xf>
    <xf numFmtId="3" fontId="24" fillId="0" borderId="63" xfId="0" applyNumberFormat="1" applyFont="1" applyBorder="1" applyAlignment="1">
      <alignment/>
    </xf>
    <xf numFmtId="3" fontId="24" fillId="0" borderId="108" xfId="0" applyNumberFormat="1" applyFont="1" applyBorder="1" applyAlignment="1">
      <alignment/>
    </xf>
    <xf numFmtId="3" fontId="72" fillId="0" borderId="134" xfId="0" applyNumberFormat="1" applyFont="1" applyBorder="1" applyAlignment="1">
      <alignment/>
    </xf>
    <xf numFmtId="3" fontId="24" fillId="0" borderId="109" xfId="0" applyNumberFormat="1" applyFont="1" applyBorder="1" applyAlignment="1">
      <alignment/>
    </xf>
    <xf numFmtId="3" fontId="72" fillId="0" borderId="149" xfId="0" applyNumberFormat="1" applyFont="1" applyBorder="1" applyAlignment="1">
      <alignment/>
    </xf>
    <xf numFmtId="0" fontId="72" fillId="0" borderId="130" xfId="0" applyFont="1" applyBorder="1" applyAlignment="1">
      <alignment/>
    </xf>
    <xf numFmtId="0" fontId="82" fillId="4" borderId="145" xfId="0" applyFont="1" applyFill="1" applyBorder="1" applyAlignment="1">
      <alignment/>
    </xf>
    <xf numFmtId="3" fontId="24" fillId="0" borderId="146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0" fontId="72" fillId="4" borderId="130" xfId="0" applyFont="1" applyFill="1" applyBorder="1" applyAlignment="1">
      <alignment/>
    </xf>
    <xf numFmtId="3" fontId="72" fillId="0" borderId="46" xfId="0" applyNumberFormat="1" applyFont="1" applyBorder="1" applyAlignment="1">
      <alignment/>
    </xf>
    <xf numFmtId="3" fontId="72" fillId="0" borderId="76" xfId="0" applyNumberFormat="1" applyFont="1" applyBorder="1" applyAlignment="1">
      <alignment/>
    </xf>
    <xf numFmtId="0" fontId="72" fillId="4" borderId="147" xfId="0" applyFont="1" applyFill="1" applyBorder="1" applyAlignment="1">
      <alignment/>
    </xf>
    <xf numFmtId="3" fontId="24" fillId="0" borderId="146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3" fontId="72" fillId="0" borderId="107" xfId="0" applyNumberFormat="1" applyFont="1" applyBorder="1" applyAlignment="1">
      <alignment/>
    </xf>
    <xf numFmtId="3" fontId="72" fillId="0" borderId="48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0" fontId="72" fillId="4" borderId="142" xfId="0" applyFont="1" applyFill="1" applyBorder="1" applyAlignment="1">
      <alignment/>
    </xf>
    <xf numFmtId="3" fontId="72" fillId="4" borderId="60" xfId="0" applyNumberFormat="1" applyFont="1" applyFill="1" applyBorder="1" applyAlignment="1">
      <alignment/>
    </xf>
    <xf numFmtId="3" fontId="72" fillId="4" borderId="143" xfId="0" applyNumberFormat="1" applyFont="1" applyFill="1" applyBorder="1" applyAlignment="1">
      <alignment/>
    </xf>
    <xf numFmtId="3" fontId="72" fillId="4" borderId="28" xfId="0" applyNumberFormat="1" applyFont="1" applyFill="1" applyBorder="1" applyAlignment="1">
      <alignment/>
    </xf>
    <xf numFmtId="3" fontId="72" fillId="0" borderId="150" xfId="0" applyNumberFormat="1" applyFont="1" applyBorder="1" applyAlignment="1">
      <alignment/>
    </xf>
    <xf numFmtId="3" fontId="72" fillId="0" borderId="86" xfId="0" applyNumberFormat="1" applyFont="1" applyBorder="1" applyAlignment="1">
      <alignment/>
    </xf>
    <xf numFmtId="0" fontId="72" fillId="4" borderId="130" xfId="0" applyFont="1" applyFill="1" applyBorder="1" applyAlignment="1">
      <alignment/>
    </xf>
    <xf numFmtId="3" fontId="72" fillId="4" borderId="50" xfId="0" applyNumberFormat="1" applyFont="1" applyFill="1" applyBorder="1" applyAlignment="1">
      <alignment/>
    </xf>
    <xf numFmtId="3" fontId="72" fillId="4" borderId="135" xfId="0" applyNumberFormat="1" applyFont="1" applyFill="1" applyBorder="1" applyAlignment="1">
      <alignment/>
    </xf>
    <xf numFmtId="3" fontId="72" fillId="4" borderId="0" xfId="0" applyNumberFormat="1" applyFont="1" applyFill="1" applyBorder="1" applyAlignment="1">
      <alignment/>
    </xf>
    <xf numFmtId="0" fontId="72" fillId="4" borderId="142" xfId="0" applyFont="1" applyFill="1" applyBorder="1" applyAlignment="1">
      <alignment/>
    </xf>
    <xf numFmtId="3" fontId="72" fillId="4" borderId="60" xfId="0" applyNumberFormat="1" applyFont="1" applyFill="1" applyBorder="1" applyAlignment="1">
      <alignment/>
    </xf>
    <xf numFmtId="3" fontId="72" fillId="4" borderId="143" xfId="0" applyNumberFormat="1" applyFont="1" applyFill="1" applyBorder="1" applyAlignment="1">
      <alignment/>
    </xf>
    <xf numFmtId="3" fontId="72" fillId="4" borderId="28" xfId="0" applyNumberFormat="1" applyFont="1" applyFill="1" applyBorder="1" applyAlignment="1">
      <alignment/>
    </xf>
    <xf numFmtId="3" fontId="24" fillId="0" borderId="103" xfId="0" applyNumberFormat="1" applyFont="1" applyBorder="1" applyAlignment="1">
      <alignment/>
    </xf>
    <xf numFmtId="3" fontId="24" fillId="0" borderId="151" xfId="0" applyNumberFormat="1" applyFont="1" applyBorder="1" applyAlignment="1">
      <alignment/>
    </xf>
    <xf numFmtId="3" fontId="24" fillId="0" borderId="91" xfId="0" applyNumberFormat="1" applyFont="1" applyBorder="1" applyAlignment="1">
      <alignment/>
    </xf>
    <xf numFmtId="3" fontId="72" fillId="0" borderId="103" xfId="0" applyNumberFormat="1" applyFont="1" applyBorder="1" applyAlignment="1">
      <alignment/>
    </xf>
    <xf numFmtId="3" fontId="24" fillId="0" borderId="150" xfId="0" applyNumberFormat="1" applyFont="1" applyBorder="1" applyAlignment="1">
      <alignment/>
    </xf>
    <xf numFmtId="3" fontId="16" fillId="0" borderId="134" xfId="0" applyNumberFormat="1" applyFont="1" applyBorder="1" applyAlignment="1">
      <alignment/>
    </xf>
    <xf numFmtId="0" fontId="72" fillId="4" borderId="147" xfId="0" applyFont="1" applyFill="1" applyBorder="1" applyAlignment="1">
      <alignment/>
    </xf>
    <xf numFmtId="3" fontId="72" fillId="4" borderId="75" xfId="0" applyNumberFormat="1" applyFont="1" applyFill="1" applyBorder="1" applyAlignment="1">
      <alignment/>
    </xf>
    <xf numFmtId="3" fontId="72" fillId="4" borderId="144" xfId="0" applyNumberFormat="1" applyFont="1" applyFill="1" applyBorder="1" applyAlignment="1">
      <alignment/>
    </xf>
    <xf numFmtId="3" fontId="72" fillId="4" borderId="71" xfId="0" applyNumberFormat="1" applyFont="1" applyFill="1" applyBorder="1" applyAlignment="1">
      <alignment/>
    </xf>
    <xf numFmtId="3" fontId="16" fillId="0" borderId="149" xfId="0" applyNumberFormat="1" applyFont="1" applyBorder="1" applyAlignment="1">
      <alignment/>
    </xf>
    <xf numFmtId="3" fontId="72" fillId="0" borderId="47" xfId="0" applyNumberFormat="1" applyFont="1" applyBorder="1" applyAlignment="1">
      <alignment/>
    </xf>
    <xf numFmtId="0" fontId="24" fillId="4" borderId="152" xfId="0" applyFont="1" applyFill="1" applyBorder="1" applyAlignment="1">
      <alignment/>
    </xf>
    <xf numFmtId="3" fontId="72" fillId="0" borderId="55" xfId="0" applyNumberFormat="1" applyFont="1" applyBorder="1" applyAlignment="1">
      <alignment/>
    </xf>
    <xf numFmtId="3" fontId="72" fillId="0" borderId="138" xfId="0" applyNumberFormat="1" applyFont="1" applyBorder="1" applyAlignment="1">
      <alignment/>
    </xf>
    <xf numFmtId="3" fontId="72" fillId="0" borderId="5" xfId="0" applyNumberFormat="1" applyFont="1" applyBorder="1" applyAlignment="1">
      <alignment/>
    </xf>
    <xf numFmtId="3" fontId="24" fillId="0" borderId="91" xfId="0" applyNumberFormat="1" applyFont="1" applyBorder="1" applyAlignment="1">
      <alignment/>
    </xf>
    <xf numFmtId="3" fontId="24" fillId="0" borderId="103" xfId="0" applyNumberFormat="1" applyFont="1" applyBorder="1" applyAlignment="1">
      <alignment/>
    </xf>
    <xf numFmtId="3" fontId="72" fillId="0" borderId="89" xfId="0" applyNumberFormat="1" applyFont="1" applyBorder="1" applyAlignment="1">
      <alignment/>
    </xf>
    <xf numFmtId="3" fontId="72" fillId="0" borderId="105" xfId="0" applyNumberFormat="1" applyFont="1" applyBorder="1" applyAlignment="1">
      <alignment/>
    </xf>
    <xf numFmtId="3" fontId="72" fillId="0" borderId="151" xfId="0" applyNumberFormat="1" applyFont="1" applyBorder="1" applyAlignment="1">
      <alignment/>
    </xf>
    <xf numFmtId="0" fontId="24" fillId="4" borderId="152" xfId="0" applyFont="1" applyFill="1" applyBorder="1" applyAlignment="1">
      <alignment/>
    </xf>
    <xf numFmtId="3" fontId="72" fillId="4" borderId="55" xfId="0" applyNumberFormat="1" applyFont="1" applyFill="1" applyBorder="1" applyAlignment="1">
      <alignment/>
    </xf>
    <xf numFmtId="3" fontId="72" fillId="4" borderId="138" xfId="0" applyNumberFormat="1" applyFont="1" applyFill="1" applyBorder="1" applyAlignment="1">
      <alignment/>
    </xf>
    <xf numFmtId="3" fontId="72" fillId="4" borderId="5" xfId="0" applyNumberFormat="1" applyFont="1" applyFill="1" applyBorder="1" applyAlignment="1">
      <alignment/>
    </xf>
    <xf numFmtId="3" fontId="72" fillId="4" borderId="107" xfId="0" applyNumberFormat="1" applyFont="1" applyFill="1" applyBorder="1" applyAlignment="1">
      <alignment/>
    </xf>
    <xf numFmtId="3" fontId="24" fillId="4" borderId="55" xfId="0" applyNumberFormat="1" applyFont="1" applyFill="1" applyBorder="1" applyAlignment="1">
      <alignment/>
    </xf>
    <xf numFmtId="3" fontId="72" fillId="0" borderId="102" xfId="0" applyNumberFormat="1" applyFont="1" applyBorder="1" applyAlignment="1">
      <alignment/>
    </xf>
    <xf numFmtId="3" fontId="72" fillId="0" borderId="90" xfId="0" applyNumberFormat="1" applyFont="1" applyBorder="1" applyAlignment="1">
      <alignment/>
    </xf>
    <xf numFmtId="0" fontId="24" fillId="4" borderId="145" xfId="0" applyFont="1" applyFill="1" applyBorder="1" applyAlignment="1">
      <alignment/>
    </xf>
    <xf numFmtId="3" fontId="24" fillId="0" borderId="151" xfId="0" applyNumberFormat="1" applyFont="1" applyBorder="1" applyAlignment="1">
      <alignment/>
    </xf>
    <xf numFmtId="0" fontId="72" fillId="0" borderId="153" xfId="0" applyFont="1" applyBorder="1" applyAlignment="1">
      <alignment/>
    </xf>
    <xf numFmtId="3" fontId="72" fillId="0" borderId="114" xfId="0" applyNumberFormat="1" applyFont="1" applyBorder="1" applyAlignment="1">
      <alignment/>
    </xf>
    <xf numFmtId="3" fontId="72" fillId="0" borderId="120" xfId="0" applyNumberFormat="1" applyFont="1" applyBorder="1" applyAlignment="1">
      <alignment/>
    </xf>
    <xf numFmtId="3" fontId="72" fillId="0" borderId="154" xfId="0" applyNumberFormat="1" applyFont="1" applyBorder="1" applyAlignment="1">
      <alignment/>
    </xf>
    <xf numFmtId="3" fontId="72" fillId="0" borderId="115" xfId="0" applyNumberFormat="1" applyFont="1" applyBorder="1" applyAlignment="1">
      <alignment/>
    </xf>
    <xf numFmtId="3" fontId="72" fillId="0" borderId="155" xfId="0" applyNumberFormat="1" applyFont="1" applyBorder="1" applyAlignment="1">
      <alignment/>
    </xf>
    <xf numFmtId="3" fontId="72" fillId="0" borderId="156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72" fillId="4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72" fillId="4" borderId="0" xfId="0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0" fontId="60" fillId="0" borderId="121" xfId="0" applyFont="1" applyBorder="1" applyAlignment="1">
      <alignment horizontal="left"/>
    </xf>
    <xf numFmtId="0" fontId="60" fillId="0" borderId="157" xfId="0" applyFont="1" applyBorder="1" applyAlignment="1">
      <alignment horizontal="centerContinuous"/>
    </xf>
    <xf numFmtId="0" fontId="60" fillId="0" borderId="158" xfId="0" applyFont="1" applyBorder="1" applyAlignment="1">
      <alignment horizontal="centerContinuous"/>
    </xf>
    <xf numFmtId="0" fontId="60" fillId="0" borderId="126" xfId="0" applyFont="1" applyBorder="1" applyAlignment="1">
      <alignment horizontal="centerContinuous"/>
    </xf>
    <xf numFmtId="0" fontId="60" fillId="0" borderId="124" xfId="0" applyFont="1" applyBorder="1" applyAlignment="1">
      <alignment horizontal="centerContinuous"/>
    </xf>
    <xf numFmtId="0" fontId="0" fillId="0" borderId="128" xfId="0" applyBorder="1" applyAlignment="1">
      <alignment/>
    </xf>
    <xf numFmtId="0" fontId="60" fillId="0" borderId="130" xfId="0" applyFont="1" applyBorder="1" applyAlignment="1">
      <alignment horizontal="left"/>
    </xf>
    <xf numFmtId="0" fontId="60" fillId="0" borderId="53" xfId="0" applyFont="1" applyBorder="1" applyAlignment="1">
      <alignment horizontal="center"/>
    </xf>
    <xf numFmtId="0" fontId="60" fillId="0" borderId="78" xfId="0" applyFont="1" applyBorder="1" applyAlignment="1">
      <alignment horizontal="center"/>
    </xf>
    <xf numFmtId="0" fontId="60" fillId="0" borderId="111" xfId="0" applyFont="1" applyBorder="1" applyAlignment="1">
      <alignment horizontal="center"/>
    </xf>
    <xf numFmtId="0" fontId="60" fillId="0" borderId="159" xfId="0" applyFont="1" applyBorder="1" applyAlignment="1">
      <alignment/>
    </xf>
    <xf numFmtId="0" fontId="60" fillId="0" borderId="137" xfId="0" applyFont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60" fillId="0" borderId="160" xfId="0" applyFont="1" applyBorder="1" applyAlignment="1">
      <alignment/>
    </xf>
    <xf numFmtId="3" fontId="60" fillId="0" borderId="89" xfId="0" applyNumberFormat="1" applyFont="1" applyBorder="1" applyAlignment="1">
      <alignment/>
    </xf>
    <xf numFmtId="3" fontId="60" fillId="4" borderId="89" xfId="0" applyNumberFormat="1" applyFont="1" applyFill="1" applyBorder="1" applyAlignment="1">
      <alignment/>
    </xf>
    <xf numFmtId="3" fontId="60" fillId="4" borderId="104" xfId="0" applyNumberFormat="1" applyFont="1" applyFill="1" applyBorder="1" applyAlignment="1">
      <alignment/>
    </xf>
    <xf numFmtId="4" fontId="60" fillId="0" borderId="131" xfId="0" applyNumberFormat="1" applyFont="1" applyBorder="1" applyAlignment="1">
      <alignment/>
    </xf>
    <xf numFmtId="0" fontId="0" fillId="0" borderId="147" xfId="0" applyBorder="1" applyAlignment="1">
      <alignment/>
    </xf>
    <xf numFmtId="3" fontId="0" fillId="0" borderId="70" xfId="0" applyNumberFormat="1" applyBorder="1" applyAlignment="1">
      <alignment/>
    </xf>
    <xf numFmtId="3" fontId="0" fillId="4" borderId="70" xfId="0" applyNumberFormat="1" applyFill="1" applyBorder="1" applyAlignment="1">
      <alignment/>
    </xf>
    <xf numFmtId="3" fontId="0" fillId="4" borderId="74" xfId="0" applyNumberFormat="1" applyFill="1" applyBorder="1" applyAlignment="1">
      <alignment/>
    </xf>
    <xf numFmtId="4" fontId="0" fillId="0" borderId="161" xfId="0" applyNumberFormat="1" applyBorder="1" applyAlignment="1">
      <alignment/>
    </xf>
    <xf numFmtId="0" fontId="60" fillId="0" borderId="147" xfId="0" applyFont="1" applyBorder="1" applyAlignment="1">
      <alignment/>
    </xf>
    <xf numFmtId="3" fontId="60" fillId="0" borderId="70" xfId="0" applyNumberFormat="1" applyFont="1" applyBorder="1" applyAlignment="1">
      <alignment/>
    </xf>
    <xf numFmtId="3" fontId="60" fillId="4" borderId="70" xfId="0" applyNumberFormat="1" applyFont="1" applyFill="1" applyBorder="1" applyAlignment="1">
      <alignment/>
    </xf>
    <xf numFmtId="3" fontId="60" fillId="4" borderId="74" xfId="0" applyNumberFormat="1" applyFont="1" applyFill="1" applyBorder="1" applyAlignment="1">
      <alignment/>
    </xf>
    <xf numFmtId="4" fontId="60" fillId="0" borderId="161" xfId="0" applyNumberFormat="1" applyFont="1" applyBorder="1" applyAlignment="1">
      <alignment/>
    </xf>
    <xf numFmtId="0" fontId="0" fillId="0" borderId="145" xfId="0" applyBorder="1" applyAlignment="1">
      <alignment/>
    </xf>
    <xf numFmtId="3" fontId="0" fillId="0" borderId="84" xfId="0" applyNumberFormat="1" applyBorder="1" applyAlignment="1">
      <alignment/>
    </xf>
    <xf numFmtId="3" fontId="0" fillId="4" borderId="84" xfId="0" applyNumberFormat="1" applyFill="1" applyBorder="1" applyAlignment="1">
      <alignment/>
    </xf>
    <xf numFmtId="3" fontId="0" fillId="4" borderId="85" xfId="0" applyNumberFormat="1" applyFill="1" applyBorder="1" applyAlignment="1">
      <alignment/>
    </xf>
    <xf numFmtId="4" fontId="0" fillId="0" borderId="162" xfId="0" applyNumberFormat="1" applyBorder="1" applyAlignment="1">
      <alignment/>
    </xf>
    <xf numFmtId="4" fontId="0" fillId="0" borderId="163" xfId="0" applyNumberFormat="1" applyBorder="1" applyAlignment="1">
      <alignment/>
    </xf>
    <xf numFmtId="0" fontId="60" fillId="0" borderId="142" xfId="0" applyFont="1" applyBorder="1" applyAlignment="1">
      <alignment/>
    </xf>
    <xf numFmtId="3" fontId="0" fillId="0" borderId="68" xfId="0" applyNumberFormat="1" applyBorder="1" applyAlignment="1">
      <alignment/>
    </xf>
    <xf numFmtId="3" fontId="0" fillId="4" borderId="68" xfId="0" applyNumberFormat="1" applyFill="1" applyBorder="1" applyAlignment="1">
      <alignment/>
    </xf>
    <xf numFmtId="3" fontId="0" fillId="4" borderId="100" xfId="0" applyNumberFormat="1" applyFill="1" applyBorder="1" applyAlignment="1">
      <alignment/>
    </xf>
    <xf numFmtId="3" fontId="0" fillId="0" borderId="100" xfId="0" applyNumberFormat="1" applyBorder="1" applyAlignment="1">
      <alignment/>
    </xf>
    <xf numFmtId="0" fontId="0" fillId="0" borderId="140" xfId="0" applyBorder="1" applyAlignment="1">
      <alignment/>
    </xf>
    <xf numFmtId="3" fontId="0" fillId="0" borderId="62" xfId="0" applyNumberFormat="1" applyBorder="1" applyAlignment="1">
      <alignment/>
    </xf>
    <xf numFmtId="3" fontId="0" fillId="4" borderId="62" xfId="0" applyNumberFormat="1" applyFill="1" applyBorder="1" applyAlignment="1">
      <alignment/>
    </xf>
    <xf numFmtId="3" fontId="0" fillId="4" borderId="95" xfId="0" applyNumberFormat="1" applyFill="1" applyBorder="1" applyAlignment="1">
      <alignment/>
    </xf>
    <xf numFmtId="4" fontId="0" fillId="0" borderId="164" xfId="0" applyNumberFormat="1" applyBorder="1" applyAlignment="1">
      <alignment/>
    </xf>
    <xf numFmtId="0" fontId="0" fillId="0" borderId="165" xfId="0" applyBorder="1" applyAlignment="1">
      <alignment/>
    </xf>
    <xf numFmtId="3" fontId="0" fillId="0" borderId="78" xfId="0" applyNumberFormat="1" applyBorder="1" applyAlignment="1">
      <alignment/>
    </xf>
    <xf numFmtId="3" fontId="0" fillId="4" borderId="78" xfId="0" applyNumberFormat="1" applyFill="1" applyBorder="1" applyAlignment="1">
      <alignment/>
    </xf>
    <xf numFmtId="3" fontId="0" fillId="4" borderId="111" xfId="0" applyNumberFormat="1" applyFill="1" applyBorder="1" applyAlignment="1">
      <alignment/>
    </xf>
    <xf numFmtId="3" fontId="60" fillId="0" borderId="166" xfId="0" applyNumberFormat="1" applyFont="1" applyBorder="1" applyAlignment="1">
      <alignment/>
    </xf>
    <xf numFmtId="3" fontId="60" fillId="0" borderId="167" xfId="0" applyNumberFormat="1" applyFont="1" applyBorder="1" applyAlignment="1">
      <alignment/>
    </xf>
    <xf numFmtId="3" fontId="60" fillId="4" borderId="167" xfId="0" applyNumberFormat="1" applyFont="1" applyFill="1" applyBorder="1" applyAlignment="1">
      <alignment/>
    </xf>
    <xf numFmtId="3" fontId="60" fillId="4" borderId="168" xfId="0" applyNumberFormat="1" applyFont="1" applyFill="1" applyBorder="1" applyAlignment="1">
      <alignment/>
    </xf>
    <xf numFmtId="4" fontId="60" fillId="0" borderId="154" xfId="0" applyNumberFormat="1" applyFont="1" applyBorder="1" applyAlignment="1">
      <alignment/>
    </xf>
    <xf numFmtId="0" fontId="0" fillId="0" borderId="130" xfId="0" applyBorder="1" applyAlignment="1">
      <alignment/>
    </xf>
    <xf numFmtId="0" fontId="60" fillId="0" borderId="153" xfId="0" applyFont="1" applyBorder="1" applyAlignment="1">
      <alignment/>
    </xf>
    <xf numFmtId="3" fontId="60" fillId="0" borderId="169" xfId="0" applyNumberFormat="1" applyFont="1" applyBorder="1" applyAlignment="1">
      <alignment/>
    </xf>
    <xf numFmtId="3" fontId="60" fillId="4" borderId="169" xfId="0" applyNumberFormat="1" applyFont="1" applyFill="1" applyBorder="1" applyAlignment="1">
      <alignment/>
    </xf>
    <xf numFmtId="3" fontId="60" fillId="4" borderId="17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60" fillId="0" borderId="124" xfId="0" applyFont="1" applyBorder="1" applyAlignment="1">
      <alignment horizontal="left"/>
    </xf>
    <xf numFmtId="0" fontId="60" fillId="0" borderId="171" xfId="0" applyFont="1" applyBorder="1" applyAlignment="1">
      <alignment horizontal="centerContinuous"/>
    </xf>
    <xf numFmtId="0" fontId="60" fillId="0" borderId="172" xfId="0" applyFont="1" applyBorder="1" applyAlignment="1">
      <alignment horizontal="centerContinuous"/>
    </xf>
    <xf numFmtId="0" fontId="60" fillId="0" borderId="80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60" fillId="0" borderId="5" xfId="0" applyFont="1" applyBorder="1" applyAlignment="1">
      <alignment horizontal="left"/>
    </xf>
    <xf numFmtId="0" fontId="0" fillId="0" borderId="57" xfId="0" applyFont="1" applyBorder="1" applyAlignment="1">
      <alignment horizontal="center"/>
    </xf>
    <xf numFmtId="0" fontId="0" fillId="0" borderId="71" xfId="0" applyBorder="1" applyAlignment="1">
      <alignment/>
    </xf>
    <xf numFmtId="3" fontId="0" fillId="4" borderId="72" xfId="0" applyNumberFormat="1" applyFill="1" applyBorder="1" applyAlignment="1">
      <alignment/>
    </xf>
    <xf numFmtId="3" fontId="0" fillId="0" borderId="70" xfId="0" applyNumberFormat="1" applyFont="1" applyBorder="1" applyAlignment="1">
      <alignment/>
    </xf>
    <xf numFmtId="0" fontId="0" fillId="0" borderId="79" xfId="0" applyBorder="1" applyAlignment="1">
      <alignment/>
    </xf>
    <xf numFmtId="3" fontId="0" fillId="4" borderId="110" xfId="0" applyNumberFormat="1" applyFill="1" applyBorder="1" applyAlignment="1">
      <alignment/>
    </xf>
    <xf numFmtId="0" fontId="60" fillId="0" borderId="145" xfId="0" applyFont="1" applyBorder="1" applyAlignment="1">
      <alignment/>
    </xf>
    <xf numFmtId="0" fontId="60" fillId="0" borderId="48" xfId="0" applyFont="1" applyBorder="1" applyAlignment="1">
      <alignment/>
    </xf>
    <xf numFmtId="3" fontId="60" fillId="0" borderId="84" xfId="0" applyNumberFormat="1" applyFont="1" applyBorder="1" applyAlignment="1">
      <alignment/>
    </xf>
    <xf numFmtId="3" fontId="60" fillId="4" borderId="84" xfId="0" applyNumberFormat="1" applyFont="1" applyFill="1" applyBorder="1" applyAlignment="1">
      <alignment/>
    </xf>
    <xf numFmtId="3" fontId="60" fillId="4" borderId="85" xfId="0" applyNumberFormat="1" applyFont="1" applyFill="1" applyBorder="1" applyAlignment="1">
      <alignment/>
    </xf>
    <xf numFmtId="3" fontId="60" fillId="4" borderId="87" xfId="0" applyNumberFormat="1" applyFont="1" applyFill="1" applyBorder="1" applyAlignment="1">
      <alignment/>
    </xf>
    <xf numFmtId="4" fontId="60" fillId="0" borderId="162" xfId="0" applyNumberFormat="1" applyFont="1" applyBorder="1" applyAlignment="1">
      <alignment/>
    </xf>
    <xf numFmtId="0" fontId="6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23" applyFo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66" fontId="16" fillId="0" borderId="0" xfId="0" applyNumberFormat="1" applyFont="1" applyAlignment="1" applyProtection="1">
      <alignment/>
      <protection locked="0"/>
    </xf>
    <xf numFmtId="22" fontId="16" fillId="0" borderId="0" xfId="0" applyNumberFormat="1" applyFont="1" applyAlignment="1" applyProtection="1">
      <alignment/>
      <protection locked="0"/>
    </xf>
    <xf numFmtId="4" fontId="16" fillId="0" borderId="0" xfId="23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4" fontId="16" fillId="0" borderId="0" xfId="23" applyNumberFormat="1" applyFont="1" applyProtection="1">
      <alignment/>
      <protection locked="0"/>
    </xf>
    <xf numFmtId="4" fontId="16" fillId="0" borderId="0" xfId="23" applyNumberFormat="1" applyFont="1" applyBorder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0" fontId="16" fillId="0" borderId="0" xfId="23" applyFont="1" applyBorder="1" applyProtection="1">
      <alignment/>
      <protection locked="0"/>
    </xf>
    <xf numFmtId="3" fontId="16" fillId="0" borderId="0" xfId="23" applyNumberFormat="1" applyFo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16" fillId="0" borderId="0" xfId="23" applyNumberFormat="1" applyFo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25" fillId="0" borderId="46" xfId="0" applyFont="1" applyFill="1" applyBorder="1" applyAlignment="1">
      <alignment horizontal="center" vertical="top" wrapText="1"/>
    </xf>
    <xf numFmtId="0" fontId="15" fillId="0" borderId="0" xfId="22" applyNumberFormat="1" applyFont="1" applyFill="1" applyAlignment="1">
      <alignment horizontal="centerContinuous"/>
      <protection/>
    </xf>
    <xf numFmtId="0" fontId="52" fillId="0" borderId="0" xfId="0" applyFont="1" applyFill="1" applyAlignment="1">
      <alignment horizontal="right"/>
    </xf>
    <xf numFmtId="0" fontId="64" fillId="0" borderId="46" xfId="23" applyFont="1" applyFill="1" applyBorder="1" applyAlignment="1">
      <alignment horizontal="centerContinuous" vertical="top" wrapText="1"/>
      <protection/>
    </xf>
    <xf numFmtId="0" fontId="64" fillId="0" borderId="46" xfId="23" applyFont="1" applyFill="1" applyBorder="1" applyAlignment="1">
      <alignment horizontal="centerContinuous" vertical="center"/>
      <protection/>
    </xf>
    <xf numFmtId="0" fontId="16" fillId="0" borderId="2" xfId="0" applyFont="1" applyFill="1" applyBorder="1" applyAlignment="1">
      <alignment horizontal="centerContinuous" vertical="top" wrapText="1"/>
    </xf>
    <xf numFmtId="0" fontId="25" fillId="0" borderId="46" xfId="0" applyFont="1" applyFill="1" applyBorder="1" applyAlignment="1">
      <alignment horizontal="centerContinuous" vertical="top" wrapText="1"/>
    </xf>
    <xf numFmtId="0" fontId="25" fillId="0" borderId="2" xfId="0" applyFont="1" applyFill="1" applyBorder="1" applyAlignment="1">
      <alignment horizontal="centerContinuous" vertical="top" wrapText="1"/>
    </xf>
    <xf numFmtId="0" fontId="25" fillId="0" borderId="1" xfId="0" applyFont="1" applyFill="1" applyBorder="1" applyAlignment="1">
      <alignment horizontal="centerContinuous" vertical="top" wrapText="1"/>
    </xf>
    <xf numFmtId="0" fontId="25" fillId="0" borderId="3" xfId="0" applyFont="1" applyFill="1" applyBorder="1" applyAlignment="1">
      <alignment horizontal="centerContinuous" vertical="top" wrapText="1"/>
    </xf>
    <xf numFmtId="0" fontId="64" fillId="0" borderId="55" xfId="23" applyFont="1" applyFill="1" applyBorder="1" applyAlignment="1">
      <alignment horizontal="centerContinuous" vertical="top" wrapText="1"/>
      <protection/>
    </xf>
    <xf numFmtId="0" fontId="64" fillId="0" borderId="50" xfId="23" applyFont="1" applyFill="1" applyBorder="1" applyAlignment="1">
      <alignment horizontal="centerContinuous" vertical="center"/>
      <protection/>
    </xf>
    <xf numFmtId="0" fontId="16" fillId="0" borderId="5" xfId="0" applyFont="1" applyFill="1" applyBorder="1" applyAlignment="1">
      <alignment horizontal="centerContinuous" vertical="top" wrapText="1"/>
    </xf>
    <xf numFmtId="0" fontId="25" fillId="0" borderId="55" xfId="0" applyFont="1" applyFill="1" applyBorder="1" applyAlignment="1">
      <alignment horizontal="centerContinuous" vertical="top" wrapText="1"/>
    </xf>
    <xf numFmtId="0" fontId="25" fillId="0" borderId="5" xfId="0" applyFont="1" applyFill="1" applyBorder="1" applyAlignment="1">
      <alignment horizontal="centerContinuous" vertical="top" wrapText="1"/>
    </xf>
    <xf numFmtId="49" fontId="52" fillId="0" borderId="108" xfId="23" applyNumberFormat="1" applyFont="1" applyFill="1" applyBorder="1" applyAlignment="1">
      <alignment horizontal="center" wrapText="1"/>
      <protection/>
    </xf>
    <xf numFmtId="49" fontId="83" fillId="0" borderId="108" xfId="23" applyNumberFormat="1" applyFont="1" applyFill="1" applyBorder="1" applyAlignment="1">
      <alignment horizontal="left" wrapText="1"/>
      <protection/>
    </xf>
    <xf numFmtId="49" fontId="52" fillId="0" borderId="28" xfId="23" applyNumberFormat="1" applyFont="1" applyFill="1" applyBorder="1" applyAlignment="1">
      <alignment/>
      <protection/>
    </xf>
    <xf numFmtId="3" fontId="52" fillId="0" borderId="75" xfId="0" applyNumberFormat="1" applyFont="1" applyFill="1" applyBorder="1" applyAlignment="1">
      <alignment horizontal="center"/>
    </xf>
    <xf numFmtId="3" fontId="52" fillId="0" borderId="71" xfId="0" applyNumberFormat="1" applyFont="1" applyFill="1" applyBorder="1" applyAlignment="1">
      <alignment horizontal="center"/>
    </xf>
    <xf numFmtId="49" fontId="52" fillId="0" borderId="60" xfId="23" applyNumberFormat="1" applyFont="1" applyFill="1" applyBorder="1" applyAlignment="1">
      <alignment horizontal="center" vertical="top"/>
      <protection/>
    </xf>
    <xf numFmtId="49" fontId="83" fillId="0" borderId="60" xfId="23" applyNumberFormat="1" applyFont="1" applyFill="1" applyBorder="1" applyAlignment="1">
      <alignment horizontal="left" vertical="top" wrapText="1"/>
      <protection/>
    </xf>
    <xf numFmtId="4" fontId="52" fillId="0" borderId="28" xfId="0" applyNumberFormat="1" applyFont="1" applyFill="1" applyBorder="1" applyAlignment="1">
      <alignment horizontal="right" vertical="top"/>
    </xf>
    <xf numFmtId="10" fontId="52" fillId="0" borderId="67" xfId="0" applyNumberFormat="1" applyFont="1" applyFill="1" applyBorder="1" applyAlignment="1">
      <alignment horizontal="right" vertical="top"/>
    </xf>
    <xf numFmtId="4" fontId="52" fillId="0" borderId="71" xfId="0" applyNumberFormat="1" applyFont="1" applyFill="1" applyBorder="1" applyAlignment="1">
      <alignment horizontal="right" vertical="top"/>
    </xf>
    <xf numFmtId="4" fontId="52" fillId="0" borderId="69" xfId="0" applyNumberFormat="1" applyFont="1" applyFill="1" applyBorder="1" applyAlignment="1">
      <alignment horizontal="right" vertical="top"/>
    </xf>
    <xf numFmtId="10" fontId="52" fillId="0" borderId="75" xfId="0" applyNumberFormat="1" applyFont="1" applyFill="1" applyBorder="1" applyAlignment="1">
      <alignment horizontal="right" vertical="top"/>
    </xf>
    <xf numFmtId="49" fontId="52" fillId="0" borderId="60" xfId="23" applyNumberFormat="1" applyFont="1" applyFill="1" applyBorder="1" applyAlignment="1">
      <alignment horizontal="center" wrapText="1"/>
      <protection/>
    </xf>
    <xf numFmtId="49" fontId="64" fillId="0" borderId="107" xfId="22" applyNumberFormat="1" applyFont="1" applyFill="1" applyBorder="1" applyAlignment="1" quotePrefix="1">
      <alignment horizontal="left" wrapText="1"/>
      <protection/>
    </xf>
    <xf numFmtId="49" fontId="64" fillId="0" borderId="48" xfId="23" applyNumberFormat="1" applyFont="1" applyFill="1" applyBorder="1" applyAlignment="1">
      <alignment/>
      <protection/>
    </xf>
    <xf numFmtId="4" fontId="52" fillId="0" borderId="48" xfId="0" applyNumberFormat="1" applyFont="1" applyFill="1" applyBorder="1" applyAlignment="1">
      <alignment/>
    </xf>
    <xf numFmtId="10" fontId="52" fillId="0" borderId="107" xfId="0" applyNumberFormat="1" applyFont="1" applyFill="1" applyBorder="1" applyAlignment="1">
      <alignment/>
    </xf>
    <xf numFmtId="49" fontId="64" fillId="0" borderId="60" xfId="23" applyNumberFormat="1" applyFont="1" applyFill="1" applyBorder="1" applyAlignment="1">
      <alignment horizontal="left" wrapText="1"/>
      <protection/>
    </xf>
    <xf numFmtId="49" fontId="64" fillId="0" borderId="28" xfId="23" applyNumberFormat="1" applyFont="1" applyFill="1" applyBorder="1" applyAlignment="1">
      <alignment/>
      <protection/>
    </xf>
    <xf numFmtId="3" fontId="52" fillId="0" borderId="60" xfId="0" applyNumberFormat="1" applyFont="1" applyFill="1" applyBorder="1" applyAlignment="1">
      <alignment/>
    </xf>
    <xf numFmtId="49" fontId="52" fillId="0" borderId="50" xfId="23" applyNumberFormat="1" applyFont="1" applyFill="1" applyBorder="1" applyAlignment="1">
      <alignment horizontal="center" wrapText="1"/>
      <protection/>
    </xf>
    <xf numFmtId="49" fontId="64" fillId="0" borderId="50" xfId="23" applyNumberFormat="1" applyFont="1" applyFill="1" applyBorder="1" applyAlignment="1">
      <alignment horizontal="left" wrapText="1"/>
      <protection/>
    </xf>
    <xf numFmtId="0" fontId="52" fillId="0" borderId="81" xfId="0" applyFont="1" applyFill="1" applyBorder="1" applyAlignment="1">
      <alignment/>
    </xf>
    <xf numFmtId="3" fontId="52" fillId="0" borderId="99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 horizontal="right" vertical="top"/>
    </xf>
    <xf numFmtId="10" fontId="52" fillId="0" borderId="99" xfId="0" applyNumberFormat="1" applyFont="1" applyFill="1" applyBorder="1" applyAlignment="1">
      <alignment horizontal="right" vertical="top"/>
    </xf>
    <xf numFmtId="49" fontId="16" fillId="0" borderId="107" xfId="0" applyNumberFormat="1" applyFont="1" applyFill="1" applyBorder="1" applyAlignment="1">
      <alignment horizontal="right" wrapText="1"/>
    </xf>
    <xf numFmtId="49" fontId="64" fillId="0" borderId="107" xfId="22" applyNumberFormat="1" applyFont="1" applyFill="1" applyBorder="1" applyAlignment="1">
      <alignment horizontal="left" wrapText="1"/>
      <protection/>
    </xf>
    <xf numFmtId="0" fontId="52" fillId="0" borderId="48" xfId="0" applyFont="1" applyFill="1" applyBorder="1" applyAlignment="1">
      <alignment/>
    </xf>
    <xf numFmtId="10" fontId="52" fillId="0" borderId="107" xfId="0" applyNumberFormat="1" applyFont="1" applyFill="1" applyBorder="1" applyAlignment="1">
      <alignment horizontal="right" vertical="top"/>
    </xf>
    <xf numFmtId="49" fontId="52" fillId="0" borderId="0" xfId="23" applyNumberFormat="1" applyFont="1" applyFill="1" applyBorder="1">
      <alignment/>
      <protection/>
    </xf>
    <xf numFmtId="0" fontId="52" fillId="0" borderId="0" xfId="23" applyFont="1" applyFill="1">
      <alignment/>
      <protection/>
    </xf>
    <xf numFmtId="4" fontId="0" fillId="0" borderId="0" xfId="0" applyNumberFormat="1" applyAlignment="1">
      <alignment horizontal="right"/>
    </xf>
    <xf numFmtId="0" fontId="60" fillId="0" borderId="83" xfId="0" applyFont="1" applyBorder="1" applyAlignment="1">
      <alignment/>
    </xf>
    <xf numFmtId="0" fontId="60" fillId="0" borderId="84" xfId="0" applyFont="1" applyBorder="1" applyAlignment="1">
      <alignment/>
    </xf>
    <xf numFmtId="4" fontId="60" fillId="0" borderId="84" xfId="0" applyNumberFormat="1" applyFont="1" applyBorder="1" applyAlignment="1">
      <alignment/>
    </xf>
    <xf numFmtId="0" fontId="0" fillId="0" borderId="68" xfId="0" applyFill="1" applyBorder="1" applyAlignment="1">
      <alignment/>
    </xf>
    <xf numFmtId="4" fontId="0" fillId="0" borderId="68" xfId="0" applyNumberFormat="1" applyFill="1" applyBorder="1" applyAlignment="1">
      <alignment/>
    </xf>
    <xf numFmtId="0" fontId="0" fillId="0" borderId="70" xfId="0" applyFill="1" applyBorder="1" applyAlignment="1">
      <alignment/>
    </xf>
    <xf numFmtId="4" fontId="0" fillId="0" borderId="70" xfId="0" applyNumberFormat="1" applyFill="1" applyBorder="1" applyAlignment="1">
      <alignment/>
    </xf>
    <xf numFmtId="0" fontId="60" fillId="0" borderId="70" xfId="0" applyFont="1" applyFill="1" applyBorder="1" applyAlignment="1">
      <alignment/>
    </xf>
    <xf numFmtId="4" fontId="60" fillId="0" borderId="70" xfId="0" applyNumberFormat="1" applyFont="1" applyFill="1" applyBorder="1" applyAlignment="1">
      <alignment/>
    </xf>
    <xf numFmtId="0" fontId="60" fillId="0" borderId="78" xfId="0" applyFont="1" applyFill="1" applyBorder="1" applyAlignment="1">
      <alignment/>
    </xf>
    <xf numFmtId="4" fontId="60" fillId="0" borderId="78" xfId="0" applyNumberFormat="1" applyFont="1" applyFill="1" applyBorder="1" applyAlignment="1">
      <alignment/>
    </xf>
    <xf numFmtId="0" fontId="0" fillId="0" borderId="173" xfId="0" applyFill="1" applyBorder="1" applyAlignment="1">
      <alignment/>
    </xf>
    <xf numFmtId="0" fontId="0" fillId="0" borderId="174" xfId="0" applyFill="1" applyBorder="1" applyAlignment="1">
      <alignment/>
    </xf>
    <xf numFmtId="4" fontId="0" fillId="0" borderId="174" xfId="0" applyNumberFormat="1" applyFill="1" applyBorder="1" applyAlignment="1">
      <alignment/>
    </xf>
    <xf numFmtId="4" fontId="0" fillId="0" borderId="175" xfId="0" applyNumberFormat="1" applyFill="1" applyBorder="1" applyAlignment="1">
      <alignment/>
    </xf>
    <xf numFmtId="0" fontId="0" fillId="0" borderId="176" xfId="0" applyFill="1" applyBorder="1" applyAlignment="1">
      <alignment/>
    </xf>
    <xf numFmtId="4" fontId="0" fillId="0" borderId="163" xfId="0" applyNumberFormat="1" applyFill="1" applyBorder="1" applyAlignment="1">
      <alignment/>
    </xf>
    <xf numFmtId="0" fontId="60" fillId="0" borderId="177" xfId="0" applyFont="1" applyFill="1" applyBorder="1" applyAlignment="1">
      <alignment/>
    </xf>
    <xf numFmtId="0" fontId="60" fillId="0" borderId="167" xfId="0" applyFont="1" applyFill="1" applyBorder="1" applyAlignment="1">
      <alignment/>
    </xf>
    <xf numFmtId="4" fontId="60" fillId="0" borderId="167" xfId="0" applyNumberFormat="1" applyFont="1" applyFill="1" applyBorder="1" applyAlignment="1">
      <alignment/>
    </xf>
    <xf numFmtId="4" fontId="60" fillId="0" borderId="178" xfId="0" applyNumberFormat="1" applyFont="1" applyFill="1" applyBorder="1" applyAlignment="1">
      <alignment/>
    </xf>
    <xf numFmtId="0" fontId="0" fillId="0" borderId="173" xfId="0" applyFont="1" applyFill="1" applyBorder="1" applyAlignment="1">
      <alignment/>
    </xf>
    <xf numFmtId="0" fontId="0" fillId="0" borderId="174" xfId="0" applyFont="1" applyFill="1" applyBorder="1" applyAlignment="1">
      <alignment/>
    </xf>
    <xf numFmtId="4" fontId="0" fillId="0" borderId="174" xfId="0" applyNumberFormat="1" applyFont="1" applyFill="1" applyBorder="1" applyAlignment="1">
      <alignment/>
    </xf>
    <xf numFmtId="4" fontId="0" fillId="0" borderId="175" xfId="0" applyNumberFormat="1" applyFont="1" applyFill="1" applyBorder="1" applyAlignment="1">
      <alignment/>
    </xf>
    <xf numFmtId="0" fontId="0" fillId="0" borderId="176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" fontId="0" fillId="0" borderId="70" xfId="0" applyNumberFormat="1" applyFont="1" applyFill="1" applyBorder="1" applyAlignment="1">
      <alignment/>
    </xf>
    <xf numFmtId="4" fontId="0" fillId="0" borderId="163" xfId="0" applyNumberFormat="1" applyFont="1" applyFill="1" applyBorder="1" applyAlignment="1">
      <alignment/>
    </xf>
    <xf numFmtId="0" fontId="59" fillId="0" borderId="173" xfId="0" applyFont="1" applyFill="1" applyBorder="1" applyAlignment="1">
      <alignment/>
    </xf>
    <xf numFmtId="0" fontId="59" fillId="0" borderId="174" xfId="0" applyFont="1" applyFill="1" applyBorder="1" applyAlignment="1">
      <alignment/>
    </xf>
    <xf numFmtId="4" fontId="59" fillId="0" borderId="174" xfId="0" applyNumberFormat="1" applyFont="1" applyFill="1" applyBorder="1" applyAlignment="1">
      <alignment/>
    </xf>
    <xf numFmtId="4" fontId="59" fillId="0" borderId="175" xfId="0" applyNumberFormat="1" applyFont="1" applyFill="1" applyBorder="1" applyAlignment="1">
      <alignment/>
    </xf>
    <xf numFmtId="0" fontId="59" fillId="0" borderId="176" xfId="0" applyFont="1" applyFill="1" applyBorder="1" applyAlignment="1">
      <alignment/>
    </xf>
    <xf numFmtId="0" fontId="59" fillId="0" borderId="70" xfId="0" applyFont="1" applyFill="1" applyBorder="1" applyAlignment="1">
      <alignment/>
    </xf>
    <xf numFmtId="4" fontId="59" fillId="0" borderId="70" xfId="0" applyNumberFormat="1" applyFont="1" applyFill="1" applyBorder="1" applyAlignment="1">
      <alignment/>
    </xf>
    <xf numFmtId="4" fontId="59" fillId="0" borderId="163" xfId="0" applyNumberFormat="1" applyFont="1" applyFill="1" applyBorder="1" applyAlignment="1">
      <alignment/>
    </xf>
    <xf numFmtId="0" fontId="84" fillId="0" borderId="179" xfId="0" applyFont="1" applyFill="1" applyBorder="1" applyAlignment="1">
      <alignment/>
    </xf>
    <xf numFmtId="0" fontId="84" fillId="0" borderId="78" xfId="0" applyFont="1" applyFill="1" applyBorder="1" applyAlignment="1">
      <alignment/>
    </xf>
    <xf numFmtId="4" fontId="84" fillId="0" borderId="78" xfId="0" applyNumberFormat="1" applyFont="1" applyFill="1" applyBorder="1" applyAlignment="1">
      <alignment/>
    </xf>
    <xf numFmtId="4" fontId="84" fillId="0" borderId="180" xfId="0" applyNumberFormat="1" applyFont="1" applyFill="1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  <xf numFmtId="4" fontId="0" fillId="0" borderId="174" xfId="0" applyNumberFormat="1" applyBorder="1" applyAlignment="1">
      <alignment/>
    </xf>
    <xf numFmtId="4" fontId="0" fillId="0" borderId="174" xfId="0" applyNumberFormat="1" applyFont="1" applyBorder="1" applyAlignment="1">
      <alignment/>
    </xf>
    <xf numFmtId="4" fontId="0" fillId="0" borderId="175" xfId="0" applyNumberFormat="1" applyFont="1" applyBorder="1" applyAlignment="1">
      <alignment/>
    </xf>
    <xf numFmtId="0" fontId="0" fillId="0" borderId="176" xfId="0" applyBorder="1" applyAlignment="1">
      <alignment/>
    </xf>
    <xf numFmtId="4" fontId="0" fillId="0" borderId="70" xfId="0" applyNumberFormat="1" applyBorder="1" applyAlignment="1">
      <alignment/>
    </xf>
    <xf numFmtId="0" fontId="60" fillId="0" borderId="177" xfId="0" applyFont="1" applyBorder="1" applyAlignment="1">
      <alignment/>
    </xf>
    <xf numFmtId="0" fontId="60" fillId="0" borderId="167" xfId="0" applyFont="1" applyBorder="1" applyAlignment="1">
      <alignment/>
    </xf>
    <xf numFmtId="4" fontId="60" fillId="0" borderId="167" xfId="0" applyNumberFormat="1" applyFont="1" applyBorder="1" applyAlignment="1">
      <alignment/>
    </xf>
    <xf numFmtId="4" fontId="60" fillId="0" borderId="178" xfId="0" applyNumberFormat="1" applyFont="1" applyBorder="1" applyAlignment="1">
      <alignment/>
    </xf>
    <xf numFmtId="0" fontId="84" fillId="0" borderId="177" xfId="0" applyFont="1" applyFill="1" applyBorder="1" applyAlignment="1">
      <alignment/>
    </xf>
    <xf numFmtId="0" fontId="84" fillId="0" borderId="167" xfId="0" applyFont="1" applyFill="1" applyBorder="1" applyAlignment="1">
      <alignment/>
    </xf>
    <xf numFmtId="4" fontId="84" fillId="0" borderId="167" xfId="0" applyNumberFormat="1" applyFont="1" applyFill="1" applyBorder="1" applyAlignment="1">
      <alignment/>
    </xf>
    <xf numFmtId="4" fontId="84" fillId="0" borderId="178" xfId="0" applyNumberFormat="1" applyFont="1" applyFill="1" applyBorder="1" applyAlignment="1">
      <alignment/>
    </xf>
    <xf numFmtId="0" fontId="52" fillId="0" borderId="0" xfId="0" applyFont="1" applyAlignment="1">
      <alignment horizontal="right"/>
    </xf>
    <xf numFmtId="0" fontId="16" fillId="0" borderId="0" xfId="0" applyFont="1" applyAlignment="1">
      <alignment/>
    </xf>
    <xf numFmtId="0" fontId="85" fillId="0" borderId="0" xfId="29" applyFont="1" applyAlignment="1">
      <alignment horizontal="center"/>
      <protection/>
    </xf>
    <xf numFmtId="0" fontId="78" fillId="0" borderId="0" xfId="29" applyFont="1" applyBorder="1" applyAlignment="1">
      <alignment horizontal="left"/>
      <protection/>
    </xf>
    <xf numFmtId="0" fontId="52" fillId="0" borderId="0" xfId="29" applyFont="1">
      <alignment/>
      <protection/>
    </xf>
    <xf numFmtId="0" fontId="52" fillId="0" borderId="0" xfId="31" applyFont="1" applyAlignment="1">
      <alignment horizontal="right"/>
      <protection/>
    </xf>
    <xf numFmtId="0" fontId="52" fillId="0" borderId="0" xfId="0" applyFont="1" applyAlignment="1">
      <alignment horizontal="centerContinuous"/>
    </xf>
    <xf numFmtId="0" fontId="16" fillId="0" borderId="107" xfId="25" applyFont="1" applyFill="1" applyBorder="1" applyAlignment="1">
      <alignment horizontal="center"/>
      <protection/>
    </xf>
    <xf numFmtId="0" fontId="16" fillId="0" borderId="48" xfId="25" applyFont="1" applyFill="1" applyBorder="1" applyAlignment="1">
      <alignment horizontal="center"/>
      <protection/>
    </xf>
    <xf numFmtId="0" fontId="87" fillId="0" borderId="55" xfId="0" applyFont="1" applyFill="1" applyBorder="1" applyAlignment="1">
      <alignment horizontal="center" vertical="top" wrapText="1"/>
    </xf>
    <xf numFmtId="167" fontId="25" fillId="0" borderId="62" xfId="0" applyNumberFormat="1" applyFont="1" applyBorder="1" applyAlignment="1">
      <alignment/>
    </xf>
    <xf numFmtId="0" fontId="52" fillId="0" borderId="70" xfId="0" applyFont="1" applyBorder="1" applyAlignment="1">
      <alignment/>
    </xf>
    <xf numFmtId="167" fontId="16" fillId="0" borderId="70" xfId="0" applyNumberFormat="1" applyFont="1" applyBorder="1" applyAlignment="1">
      <alignment/>
    </xf>
    <xf numFmtId="49" fontId="73" fillId="0" borderId="0" xfId="0" applyNumberFormat="1" applyFont="1" applyBorder="1" applyAlignment="1">
      <alignment horizontal="right" vertical="top" textRotation="180" wrapText="1"/>
    </xf>
    <xf numFmtId="49" fontId="73" fillId="0" borderId="0" xfId="0" applyNumberFormat="1" applyFont="1" applyBorder="1" applyAlignment="1">
      <alignment horizontal="center" vertical="center" textRotation="180" wrapText="1"/>
    </xf>
    <xf numFmtId="0" fontId="72" fillId="0" borderId="0" xfId="0" applyFont="1" applyAlignment="1">
      <alignment/>
    </xf>
    <xf numFmtId="0" fontId="85" fillId="0" borderId="0" xfId="30" applyFont="1" applyAlignment="1">
      <alignment horizontal="center"/>
      <protection/>
    </xf>
    <xf numFmtId="0" fontId="63" fillId="0" borderId="0" xfId="0" applyFont="1" applyAlignment="1">
      <alignment horizontal="left" vertical="top" wrapText="1"/>
    </xf>
    <xf numFmtId="0" fontId="88" fillId="0" borderId="0" xfId="0" applyFont="1" applyAlignment="1">
      <alignment horizontal="left" wrapText="1"/>
    </xf>
    <xf numFmtId="0" fontId="16" fillId="0" borderId="0" xfId="26" applyFont="1" applyBorder="1">
      <alignment/>
      <protection/>
    </xf>
    <xf numFmtId="0" fontId="16" fillId="0" borderId="107" xfId="26" applyFont="1" applyFill="1" applyBorder="1" applyAlignment="1">
      <alignment horizontal="center"/>
      <protection/>
    </xf>
    <xf numFmtId="0" fontId="16" fillId="0" borderId="48" xfId="26" applyFont="1" applyFill="1" applyBorder="1" applyAlignment="1">
      <alignment horizontal="center"/>
      <protection/>
    </xf>
    <xf numFmtId="164" fontId="52" fillId="0" borderId="109" xfId="0" applyNumberFormat="1" applyFont="1" applyFill="1" applyBorder="1" applyAlignment="1">
      <alignment horizontal="right"/>
    </xf>
    <xf numFmtId="4" fontId="89" fillId="0" borderId="0" xfId="0" applyNumberFormat="1" applyFont="1" applyFill="1" applyAlignment="1">
      <alignment/>
    </xf>
    <xf numFmtId="4" fontId="90" fillId="0" borderId="0" xfId="0" applyNumberFormat="1" applyFont="1" applyFill="1" applyAlignment="1">
      <alignment/>
    </xf>
    <xf numFmtId="0" fontId="60" fillId="0" borderId="129" xfId="0" applyFont="1" applyBorder="1" applyAlignment="1">
      <alignment horizontal="left"/>
    </xf>
    <xf numFmtId="0" fontId="67" fillId="4" borderId="124" xfId="0" applyFont="1" applyFill="1" applyBorder="1" applyAlignment="1">
      <alignment horizontal="center"/>
    </xf>
    <xf numFmtId="0" fontId="71" fillId="4" borderId="124" xfId="0" applyFont="1" applyFill="1" applyBorder="1" applyAlignment="1">
      <alignment/>
    </xf>
    <xf numFmtId="0" fontId="71" fillId="4" borderId="128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7" fillId="4" borderId="0" xfId="0" applyFont="1" applyFill="1" applyBorder="1" applyAlignment="1">
      <alignment horizontal="center"/>
    </xf>
    <xf numFmtId="0" fontId="71" fillId="4" borderId="0" xfId="0" applyFont="1" applyFill="1" applyBorder="1" applyAlignment="1">
      <alignment/>
    </xf>
    <xf numFmtId="0" fontId="71" fillId="4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4" fillId="0" borderId="0" xfId="0" applyFont="1" applyAlignment="1">
      <alignment horizontal="right"/>
    </xf>
    <xf numFmtId="0" fontId="92" fillId="0" borderId="144" xfId="0" applyFont="1" applyBorder="1" applyAlignment="1">
      <alignment/>
    </xf>
    <xf numFmtId="3" fontId="95" fillId="4" borderId="68" xfId="0" applyNumberFormat="1" applyFont="1" applyFill="1" applyBorder="1" applyAlignment="1">
      <alignment/>
    </xf>
    <xf numFmtId="0" fontId="95" fillId="0" borderId="68" xfId="0" applyFont="1" applyBorder="1" applyAlignment="1">
      <alignment/>
    </xf>
    <xf numFmtId="3" fontId="95" fillId="0" borderId="70" xfId="0" applyNumberFormat="1" applyFont="1" applyBorder="1" applyAlignment="1">
      <alignment/>
    </xf>
    <xf numFmtId="3" fontId="95" fillId="0" borderId="72" xfId="0" applyNumberFormat="1" applyFont="1" applyBorder="1" applyAlignment="1">
      <alignment/>
    </xf>
    <xf numFmtId="3" fontId="95" fillId="0" borderId="74" xfId="0" applyNumberFormat="1" applyFont="1" applyBorder="1" applyAlignment="1">
      <alignment/>
    </xf>
    <xf numFmtId="3" fontId="95" fillId="0" borderId="67" xfId="0" applyNumberFormat="1" applyFont="1" applyBorder="1" applyAlignment="1">
      <alignment/>
    </xf>
    <xf numFmtId="3" fontId="95" fillId="4" borderId="70" xfId="0" applyNumberFormat="1" applyFont="1" applyFill="1" applyBorder="1" applyAlignment="1">
      <alignment/>
    </xf>
    <xf numFmtId="0" fontId="95" fillId="0" borderId="70" xfId="0" applyFont="1" applyBorder="1" applyAlignment="1">
      <alignment/>
    </xf>
    <xf numFmtId="3" fontId="92" fillId="4" borderId="70" xfId="0" applyNumberFormat="1" applyFont="1" applyFill="1" applyBorder="1" applyAlignment="1">
      <alignment/>
    </xf>
    <xf numFmtId="0" fontId="92" fillId="0" borderId="70" xfId="0" applyFont="1" applyBorder="1" applyAlignment="1">
      <alignment/>
    </xf>
    <xf numFmtId="0" fontId="92" fillId="0" borderId="181" xfId="0" applyFont="1" applyBorder="1" applyAlignment="1">
      <alignment/>
    </xf>
    <xf numFmtId="0" fontId="68" fillId="0" borderId="144" xfId="0" applyFont="1" applyBorder="1" applyAlignment="1">
      <alignment/>
    </xf>
    <xf numFmtId="3" fontId="93" fillId="4" borderId="70" xfId="0" applyNumberFormat="1" applyFont="1" applyFill="1" applyBorder="1" applyAlignment="1">
      <alignment/>
    </xf>
    <xf numFmtId="3" fontId="93" fillId="4" borderId="70" xfId="0" applyNumberFormat="1" applyFont="1" applyFill="1" applyBorder="1" applyAlignment="1">
      <alignment/>
    </xf>
    <xf numFmtId="3" fontId="93" fillId="4" borderId="72" xfId="0" applyNumberFormat="1" applyFont="1" applyFill="1" applyBorder="1" applyAlignment="1">
      <alignment/>
    </xf>
    <xf numFmtId="3" fontId="93" fillId="4" borderId="74" xfId="0" applyNumberFormat="1" applyFont="1" applyFill="1" applyBorder="1" applyAlignment="1">
      <alignment/>
    </xf>
    <xf numFmtId="3" fontId="93" fillId="4" borderId="67" xfId="0" applyNumberFormat="1" applyFont="1" applyFill="1" applyBorder="1" applyAlignment="1">
      <alignment/>
    </xf>
    <xf numFmtId="0" fontId="68" fillId="0" borderId="138" xfId="0" applyFont="1" applyBorder="1" applyAlignment="1">
      <alignment/>
    </xf>
    <xf numFmtId="3" fontId="93" fillId="4" borderId="89" xfId="0" applyNumberFormat="1" applyFont="1" applyFill="1" applyBorder="1" applyAlignment="1">
      <alignment/>
    </xf>
    <xf numFmtId="3" fontId="93" fillId="4" borderId="102" xfId="0" applyNumberFormat="1" applyFont="1" applyFill="1" applyBorder="1" applyAlignment="1">
      <alignment/>
    </xf>
    <xf numFmtId="3" fontId="93" fillId="4" borderId="104" xfId="0" applyNumberFormat="1" applyFont="1" applyFill="1" applyBorder="1" applyAlignment="1">
      <alignment/>
    </xf>
    <xf numFmtId="3" fontId="93" fillId="4" borderId="91" xfId="0" applyNumberFormat="1" applyFont="1" applyFill="1" applyBorder="1" applyAlignment="1">
      <alignment/>
    </xf>
    <xf numFmtId="0" fontId="92" fillId="0" borderId="181" xfId="0" applyFont="1" applyBorder="1" applyAlignment="1">
      <alignment/>
    </xf>
    <xf numFmtId="3" fontId="95" fillId="4" borderId="78" xfId="0" applyNumberFormat="1" applyFont="1" applyFill="1" applyBorder="1" applyAlignment="1">
      <alignment/>
    </xf>
    <xf numFmtId="3" fontId="95" fillId="0" borderId="53" xfId="0" applyNumberFormat="1" applyFont="1" applyBorder="1" applyAlignment="1">
      <alignment/>
    </xf>
    <xf numFmtId="3" fontId="95" fillId="0" borderId="68" xfId="0" applyNumberFormat="1" applyFont="1" applyBorder="1" applyAlignment="1">
      <alignment/>
    </xf>
    <xf numFmtId="3" fontId="95" fillId="4" borderId="53" xfId="0" applyNumberFormat="1" applyFont="1" applyFill="1" applyBorder="1" applyAlignment="1">
      <alignment/>
    </xf>
    <xf numFmtId="0" fontId="68" fillId="0" borderId="151" xfId="0" applyFont="1" applyBorder="1" applyAlignment="1">
      <alignment/>
    </xf>
    <xf numFmtId="3" fontId="93" fillId="0" borderId="89" xfId="0" applyNumberFormat="1" applyFont="1" applyBorder="1" applyAlignment="1">
      <alignment/>
    </xf>
    <xf numFmtId="3" fontId="93" fillId="0" borderId="89" xfId="0" applyNumberFormat="1" applyFont="1" applyBorder="1" applyAlignment="1">
      <alignment/>
    </xf>
    <xf numFmtId="3" fontId="93" fillId="0" borderId="102" xfId="0" applyNumberFormat="1" applyFont="1" applyBorder="1" applyAlignment="1">
      <alignment/>
    </xf>
    <xf numFmtId="3" fontId="93" fillId="0" borderId="104" xfId="0" applyNumberFormat="1" applyFont="1" applyBorder="1" applyAlignment="1">
      <alignment/>
    </xf>
    <xf numFmtId="3" fontId="93" fillId="0" borderId="91" xfId="0" applyNumberFormat="1" applyFont="1" applyBorder="1" applyAlignment="1">
      <alignment/>
    </xf>
    <xf numFmtId="0" fontId="92" fillId="0" borderId="0" xfId="0" applyFont="1" applyAlignment="1">
      <alignment/>
    </xf>
    <xf numFmtId="0" fontId="92" fillId="4" borderId="0" xfId="0" applyFont="1" applyFill="1" applyAlignment="1">
      <alignment/>
    </xf>
    <xf numFmtId="0" fontId="60" fillId="0" borderId="0" xfId="0" applyFont="1" applyAlignment="1">
      <alignment horizontal="right"/>
    </xf>
    <xf numFmtId="3" fontId="0" fillId="0" borderId="100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0" fontId="60" fillId="0" borderId="0" xfId="0" applyFont="1" applyBorder="1" applyAlignment="1">
      <alignment/>
    </xf>
    <xf numFmtId="1" fontId="0" fillId="0" borderId="0" xfId="0" applyNumberFormat="1" applyAlignment="1">
      <alignment/>
    </xf>
    <xf numFmtId="3" fontId="96" fillId="0" borderId="65" xfId="0" applyNumberFormat="1" applyFont="1" applyBorder="1" applyAlignment="1">
      <alignment/>
    </xf>
    <xf numFmtId="0" fontId="0" fillId="0" borderId="9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60" fillId="0" borderId="182" xfId="0" applyFont="1" applyBorder="1" applyAlignment="1">
      <alignment horizontal="centerContinuous"/>
    </xf>
    <xf numFmtId="0" fontId="60" fillId="0" borderId="0" xfId="0" applyFont="1" applyFill="1" applyAlignment="1">
      <alignment/>
    </xf>
    <xf numFmtId="0" fontId="69" fillId="0" borderId="0" xfId="0" applyFont="1" applyAlignment="1">
      <alignment/>
    </xf>
    <xf numFmtId="3" fontId="52" fillId="0" borderId="107" xfId="0" applyNumberFormat="1" applyFont="1" applyFill="1" applyBorder="1" applyAlignment="1">
      <alignment horizontal="right"/>
    </xf>
    <xf numFmtId="3" fontId="52" fillId="0" borderId="48" xfId="0" applyNumberFormat="1" applyFont="1" applyFill="1" applyBorder="1" applyAlignment="1">
      <alignment horizontal="right"/>
    </xf>
    <xf numFmtId="4" fontId="52" fillId="0" borderId="28" xfId="0" applyNumberFormat="1" applyFont="1" applyFill="1" applyBorder="1" applyAlignment="1">
      <alignment horizontal="right"/>
    </xf>
    <xf numFmtId="164" fontId="52" fillId="0" borderId="60" xfId="0" applyNumberFormat="1" applyFont="1" applyFill="1" applyBorder="1" applyAlignment="1">
      <alignment horizontal="right"/>
    </xf>
    <xf numFmtId="164" fontId="52" fillId="0" borderId="28" xfId="0" applyNumberFormat="1" applyFont="1" applyFill="1" applyBorder="1" applyAlignment="1">
      <alignment horizontal="right"/>
    </xf>
    <xf numFmtId="4" fontId="52" fillId="0" borderId="108" xfId="0" applyNumberFormat="1" applyFont="1" applyFill="1" applyBorder="1" applyAlignment="1">
      <alignment horizontal="right"/>
    </xf>
    <xf numFmtId="4" fontId="52" fillId="0" borderId="60" xfId="0" applyNumberFormat="1" applyFont="1" applyFill="1" applyBorder="1" applyAlignment="1">
      <alignment horizontal="right"/>
    </xf>
    <xf numFmtId="3" fontId="52" fillId="0" borderId="109" xfId="0" applyNumberFormat="1" applyFont="1" applyFill="1" applyBorder="1" applyAlignment="1">
      <alignment horizontal="right"/>
    </xf>
    <xf numFmtId="4" fontId="52" fillId="0" borderId="96" xfId="0" applyNumberFormat="1" applyFont="1" applyFill="1" applyBorder="1" applyAlignment="1">
      <alignment horizontal="right"/>
    </xf>
    <xf numFmtId="164" fontId="52" fillId="0" borderId="108" xfId="0" applyNumberFormat="1" applyFont="1" applyFill="1" applyBorder="1" applyAlignment="1">
      <alignment horizontal="right"/>
    </xf>
    <xf numFmtId="164" fontId="52" fillId="0" borderId="96" xfId="0" applyNumberFormat="1" applyFont="1" applyFill="1" applyBorder="1" applyAlignment="1">
      <alignment horizontal="right"/>
    </xf>
    <xf numFmtId="164" fontId="52" fillId="0" borderId="63" xfId="0" applyNumberFormat="1" applyFont="1" applyFill="1" applyBorder="1" applyAlignment="1">
      <alignment horizontal="right"/>
    </xf>
    <xf numFmtId="3" fontId="52" fillId="0" borderId="63" xfId="0" applyNumberFormat="1" applyFont="1" applyFill="1" applyBorder="1" applyAlignment="1">
      <alignment horizontal="right"/>
    </xf>
    <xf numFmtId="3" fontId="52" fillId="0" borderId="6" xfId="0" applyNumberFormat="1" applyFont="1" applyFill="1" applyBorder="1" applyAlignment="1">
      <alignment horizontal="right"/>
    </xf>
    <xf numFmtId="0" fontId="64" fillId="0" borderId="107" xfId="0" applyFont="1" applyFill="1" applyBorder="1" applyAlignment="1">
      <alignment horizontal="center" vertical="top" wrapText="1"/>
    </xf>
    <xf numFmtId="49" fontId="16" fillId="0" borderId="47" xfId="0" applyNumberFormat="1" applyFont="1" applyFill="1" applyBorder="1" applyAlignment="1">
      <alignment horizontal="center" vertical="center"/>
    </xf>
    <xf numFmtId="49" fontId="16" fillId="0" borderId="107" xfId="0" applyNumberFormat="1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left"/>
    </xf>
    <xf numFmtId="4" fontId="52" fillId="0" borderId="107" xfId="0" applyNumberFormat="1" applyFont="1" applyFill="1" applyBorder="1" applyAlignment="1">
      <alignment horizontal="right"/>
    </xf>
    <xf numFmtId="4" fontId="52" fillId="0" borderId="48" xfId="0" applyNumberFormat="1" applyFont="1" applyFill="1" applyBorder="1" applyAlignment="1">
      <alignment horizontal="right"/>
    </xf>
    <xf numFmtId="164" fontId="52" fillId="0" borderId="107" xfId="0" applyNumberFormat="1" applyFont="1" applyFill="1" applyBorder="1" applyAlignment="1">
      <alignment horizontal="right"/>
    </xf>
    <xf numFmtId="164" fontId="52" fillId="0" borderId="48" xfId="0" applyNumberFormat="1" applyFont="1" applyFill="1" applyBorder="1" applyAlignment="1">
      <alignment horizontal="right"/>
    </xf>
    <xf numFmtId="164" fontId="52" fillId="0" borderId="86" xfId="0" applyNumberFormat="1" applyFont="1" applyFill="1" applyBorder="1" applyAlignment="1">
      <alignment horizontal="right"/>
    </xf>
    <xf numFmtId="4" fontId="52" fillId="0" borderId="85" xfId="0" applyNumberFormat="1" applyFont="1" applyFill="1" applyBorder="1" applyAlignment="1">
      <alignment horizontal="right"/>
    </xf>
    <xf numFmtId="0" fontId="64" fillId="0" borderId="83" xfId="0" applyFont="1" applyFill="1" applyBorder="1" applyAlignment="1">
      <alignment horizontal="left"/>
    </xf>
    <xf numFmtId="164" fontId="52" fillId="0" borderId="84" xfId="0" applyNumberFormat="1" applyFont="1" applyFill="1" applyBorder="1" applyAlignment="1">
      <alignment horizontal="right"/>
    </xf>
    <xf numFmtId="10" fontId="52" fillId="0" borderId="84" xfId="0" applyNumberFormat="1" applyFont="1" applyFill="1" applyBorder="1" applyAlignment="1">
      <alignment horizontal="right"/>
    </xf>
    <xf numFmtId="3" fontId="52" fillId="0" borderId="84" xfId="0" applyNumberFormat="1" applyFont="1" applyFill="1" applyBorder="1" applyAlignment="1">
      <alignment horizontal="right"/>
    </xf>
    <xf numFmtId="3" fontId="52" fillId="0" borderId="87" xfId="0" applyNumberFormat="1" applyFont="1" applyFill="1" applyBorder="1" applyAlignment="1">
      <alignment horizontal="right"/>
    </xf>
    <xf numFmtId="3" fontId="52" fillId="0" borderId="49" xfId="0" applyNumberFormat="1" applyFont="1" applyFill="1" applyBorder="1" applyAlignment="1">
      <alignment horizontal="right"/>
    </xf>
    <xf numFmtId="0" fontId="52" fillId="0" borderId="61" xfId="0" applyFont="1" applyFill="1" applyBorder="1" applyAlignment="1">
      <alignment horizontal="left"/>
    </xf>
    <xf numFmtId="0" fontId="52" fillId="0" borderId="108" xfId="0" applyFont="1" applyFill="1" applyBorder="1" applyAlignment="1">
      <alignment horizontal="left"/>
    </xf>
    <xf numFmtId="4" fontId="52" fillId="0" borderId="63" xfId="0" applyNumberFormat="1" applyFont="1" applyFill="1" applyBorder="1" applyAlignment="1">
      <alignment horizontal="right"/>
    </xf>
    <xf numFmtId="0" fontId="52" fillId="0" borderId="19" xfId="0" applyFont="1" applyFill="1" applyBorder="1" applyAlignment="1">
      <alignment horizontal="left"/>
    </xf>
    <xf numFmtId="0" fontId="52" fillId="0" borderId="60" xfId="0" applyFont="1" applyFill="1" applyBorder="1" applyAlignment="1">
      <alignment horizontal="left"/>
    </xf>
    <xf numFmtId="4" fontId="52" fillId="0" borderId="109" xfId="0" applyNumberFormat="1" applyFont="1" applyFill="1" applyBorder="1" applyAlignment="1">
      <alignment horizontal="right"/>
    </xf>
    <xf numFmtId="10" fontId="52" fillId="0" borderId="109" xfId="0" applyNumberFormat="1" applyFont="1" applyFill="1" applyBorder="1" applyAlignment="1">
      <alignment horizontal="right"/>
    </xf>
    <xf numFmtId="0" fontId="52" fillId="0" borderId="4" xfId="0" applyFont="1" applyFill="1" applyBorder="1" applyAlignment="1">
      <alignment horizontal="left"/>
    </xf>
    <xf numFmtId="4" fontId="52" fillId="0" borderId="55" xfId="0" applyNumberFormat="1" applyFont="1" applyFill="1" applyBorder="1" applyAlignment="1">
      <alignment horizontal="right"/>
    </xf>
    <xf numFmtId="4" fontId="52" fillId="0" borderId="5" xfId="0" applyNumberFormat="1" applyFont="1" applyFill="1" applyBorder="1" applyAlignment="1">
      <alignment horizontal="right"/>
    </xf>
    <xf numFmtId="164" fontId="52" fillId="0" borderId="55" xfId="0" applyNumberFormat="1" applyFont="1" applyFill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164" fontId="52" fillId="0" borderId="6" xfId="0" applyNumberFormat="1" applyFont="1" applyFill="1" applyBorder="1" applyAlignment="1">
      <alignment horizontal="right"/>
    </xf>
    <xf numFmtId="0" fontId="52" fillId="0" borderId="55" xfId="0" applyFont="1" applyFill="1" applyBorder="1" applyAlignment="1">
      <alignment horizontal="left"/>
    </xf>
    <xf numFmtId="10" fontId="52" fillId="0" borderId="6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4" fontId="52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167" fontId="16" fillId="0" borderId="0" xfId="0" applyNumberFormat="1" applyFont="1" applyBorder="1" applyAlignment="1">
      <alignment/>
    </xf>
    <xf numFmtId="0" fontId="97" fillId="0" borderId="0" xfId="0" applyFont="1" applyFill="1" applyAlignment="1">
      <alignment horizontal="right"/>
    </xf>
    <xf numFmtId="0" fontId="64" fillId="0" borderId="107" xfId="0" applyFont="1" applyFill="1" applyBorder="1" applyAlignment="1">
      <alignment horizontal="center"/>
    </xf>
    <xf numFmtId="0" fontId="64" fillId="0" borderId="50" xfId="0" applyFont="1" applyFill="1" applyBorder="1" applyAlignment="1">
      <alignment horizontal="left"/>
    </xf>
    <xf numFmtId="4" fontId="52" fillId="0" borderId="21" xfId="0" applyNumberFormat="1" applyFont="1" applyFill="1" applyBorder="1" applyAlignment="1">
      <alignment horizontal="right"/>
    </xf>
    <xf numFmtId="3" fontId="52" fillId="0" borderId="46" xfId="0" applyNumberFormat="1" applyFont="1" applyFill="1" applyBorder="1" applyAlignment="1">
      <alignment horizontal="right"/>
    </xf>
    <xf numFmtId="4" fontId="89" fillId="0" borderId="109" xfId="0" applyNumberFormat="1" applyFont="1" applyFill="1" applyBorder="1" applyAlignment="1">
      <alignment horizontal="right"/>
    </xf>
    <xf numFmtId="3" fontId="52" fillId="0" borderId="60" xfId="0" applyNumberFormat="1" applyFont="1" applyFill="1" applyBorder="1" applyAlignment="1">
      <alignment horizontal="right"/>
    </xf>
    <xf numFmtId="3" fontId="52" fillId="0" borderId="28" xfId="0" applyNumberFormat="1" applyFont="1" applyFill="1" applyBorder="1" applyAlignment="1">
      <alignment horizontal="right"/>
    </xf>
    <xf numFmtId="4" fontId="16" fillId="0" borderId="109" xfId="0" applyNumberFormat="1" applyFont="1" applyFill="1" applyBorder="1" applyAlignment="1">
      <alignment horizontal="right"/>
    </xf>
    <xf numFmtId="3" fontId="52" fillId="0" borderId="75" xfId="0" applyNumberFormat="1" applyFont="1" applyFill="1" applyBorder="1" applyAlignment="1">
      <alignment horizontal="right"/>
    </xf>
    <xf numFmtId="3" fontId="52" fillId="0" borderId="5" xfId="0" applyNumberFormat="1" applyFont="1" applyFill="1" applyBorder="1" applyAlignment="1">
      <alignment horizontal="right"/>
    </xf>
    <xf numFmtId="3" fontId="52" fillId="0" borderId="55" xfId="0" applyNumberFormat="1" applyFont="1" applyFill="1" applyBorder="1" applyAlignment="1">
      <alignment horizontal="right"/>
    </xf>
    <xf numFmtId="0" fontId="64" fillId="0" borderId="1" xfId="0" applyFont="1" applyFill="1" applyBorder="1" applyAlignment="1">
      <alignment horizontal="left" wrapText="1"/>
    </xf>
    <xf numFmtId="4" fontId="52" fillId="0" borderId="46" xfId="0" applyNumberFormat="1" applyFont="1" applyFill="1" applyBorder="1" applyAlignment="1">
      <alignment horizontal="right"/>
    </xf>
    <xf numFmtId="3" fontId="52" fillId="0" borderId="46" xfId="0" applyNumberFormat="1" applyFont="1" applyFill="1" applyBorder="1" applyAlignment="1">
      <alignment horizontal="center"/>
    </xf>
    <xf numFmtId="3" fontId="52" fillId="0" borderId="2" xfId="0" applyNumberFormat="1" applyFont="1" applyFill="1" applyBorder="1" applyAlignment="1">
      <alignment horizontal="center"/>
    </xf>
    <xf numFmtId="3" fontId="52" fillId="0" borderId="3" xfId="0" applyNumberFormat="1" applyFont="1" applyFill="1" applyBorder="1" applyAlignment="1">
      <alignment horizontal="center"/>
    </xf>
    <xf numFmtId="4" fontId="89" fillId="0" borderId="55" xfId="0" applyNumberFormat="1" applyFont="1" applyFill="1" applyBorder="1" applyAlignment="1">
      <alignment horizontal="right"/>
    </xf>
    <xf numFmtId="3" fontId="52" fillId="0" borderId="55" xfId="0" applyNumberFormat="1" applyFont="1" applyFill="1" applyBorder="1" applyAlignment="1">
      <alignment/>
    </xf>
    <xf numFmtId="3" fontId="52" fillId="0" borderId="109" xfId="0" applyNumberFormat="1" applyFont="1" applyFill="1" applyBorder="1" applyAlignment="1">
      <alignment horizontal="center"/>
    </xf>
    <xf numFmtId="3" fontId="52" fillId="0" borderId="28" xfId="0" applyNumberFormat="1" applyFont="1" applyFill="1" applyBorder="1" applyAlignment="1">
      <alignment horizontal="center"/>
    </xf>
    <xf numFmtId="3" fontId="52" fillId="0" borderId="60" xfId="0" applyNumberFormat="1" applyFont="1" applyFill="1" applyBorder="1" applyAlignment="1">
      <alignment horizontal="center"/>
    </xf>
    <xf numFmtId="3" fontId="52" fillId="0" borderId="6" xfId="0" applyNumberFormat="1" applyFont="1" applyFill="1" applyBorder="1" applyAlignment="1">
      <alignment horizontal="center"/>
    </xf>
    <xf numFmtId="3" fontId="52" fillId="0" borderId="5" xfId="0" applyNumberFormat="1" applyFont="1" applyFill="1" applyBorder="1" applyAlignment="1">
      <alignment horizontal="center"/>
    </xf>
    <xf numFmtId="3" fontId="52" fillId="0" borderId="55" xfId="0" applyNumberFormat="1" applyFont="1" applyFill="1" applyBorder="1" applyAlignment="1">
      <alignment horizontal="center"/>
    </xf>
    <xf numFmtId="0" fontId="64" fillId="0" borderId="107" xfId="0" applyFont="1" applyFill="1" applyBorder="1" applyAlignment="1">
      <alignment horizontal="left"/>
    </xf>
    <xf numFmtId="4" fontId="52" fillId="0" borderId="49" xfId="0" applyNumberFormat="1" applyFont="1" applyFill="1" applyBorder="1" applyAlignment="1">
      <alignment horizontal="right"/>
    </xf>
    <xf numFmtId="3" fontId="52" fillId="0" borderId="49" xfId="0" applyNumberFormat="1" applyFont="1" applyFill="1" applyBorder="1" applyAlignment="1">
      <alignment horizontal="center"/>
    </xf>
    <xf numFmtId="0" fontId="97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0" fontId="64" fillId="0" borderId="0" xfId="28" applyFont="1" applyFill="1" applyBorder="1" applyAlignment="1">
      <alignment horizontal="left"/>
      <protection/>
    </xf>
    <xf numFmtId="0" fontId="72" fillId="0" borderId="0" xfId="24" applyFont="1" applyFill="1" applyBorder="1">
      <alignment/>
      <protection/>
    </xf>
    <xf numFmtId="4" fontId="52" fillId="0" borderId="75" xfId="0" applyNumberFormat="1" applyFont="1" applyFill="1" applyBorder="1" applyAlignment="1">
      <alignment horizontal="right"/>
    </xf>
    <xf numFmtId="4" fontId="64" fillId="0" borderId="1" xfId="0" applyNumberFormat="1" applyFont="1" applyFill="1" applyBorder="1" applyAlignment="1">
      <alignment horizontal="left"/>
    </xf>
    <xf numFmtId="4" fontId="52" fillId="0" borderId="2" xfId="0" applyNumberFormat="1" applyFont="1" applyFill="1" applyBorder="1" applyAlignment="1">
      <alignment horizontal="right"/>
    </xf>
    <xf numFmtId="4" fontId="90" fillId="0" borderId="109" xfId="0" applyNumberFormat="1" applyFont="1" applyFill="1" applyBorder="1" applyAlignment="1">
      <alignment horizontal="right"/>
    </xf>
    <xf numFmtId="4" fontId="52" fillId="0" borderId="19" xfId="0" applyNumberFormat="1" applyFont="1" applyFill="1" applyBorder="1" applyAlignment="1">
      <alignment horizontal="left"/>
    </xf>
    <xf numFmtId="4" fontId="52" fillId="0" borderId="6" xfId="0" applyNumberFormat="1" applyFont="1" applyFill="1" applyBorder="1" applyAlignment="1">
      <alignment horizontal="right"/>
    </xf>
    <xf numFmtId="4" fontId="52" fillId="0" borderId="5" xfId="0" applyNumberFormat="1" applyFont="1" applyFill="1" applyBorder="1" applyAlignment="1">
      <alignment/>
    </xf>
    <xf numFmtId="4" fontId="64" fillId="0" borderId="4" xfId="0" applyNumberFormat="1" applyFont="1" applyFill="1" applyBorder="1" applyAlignment="1">
      <alignment horizontal="left"/>
    </xf>
    <xf numFmtId="4" fontId="52" fillId="0" borderId="3" xfId="0" applyNumberFormat="1" applyFont="1" applyFill="1" applyBorder="1" applyAlignment="1">
      <alignment horizontal="right"/>
    </xf>
    <xf numFmtId="4" fontId="64" fillId="0" borderId="76" xfId="0" applyNumberFormat="1" applyFont="1" applyFill="1" applyBorder="1" applyAlignment="1">
      <alignment horizontal="left" wrapText="1"/>
    </xf>
    <xf numFmtId="4" fontId="52" fillId="0" borderId="50" xfId="0" applyNumberFormat="1" applyFont="1" applyFill="1" applyBorder="1" applyAlignment="1">
      <alignment horizontal="right"/>
    </xf>
    <xf numFmtId="4" fontId="91" fillId="0" borderId="55" xfId="0" applyNumberFormat="1" applyFont="1" applyFill="1" applyBorder="1" applyAlignment="1">
      <alignment horizontal="right"/>
    </xf>
    <xf numFmtId="4" fontId="52" fillId="0" borderId="4" xfId="0" applyNumberFormat="1" applyFont="1" applyFill="1" applyBorder="1" applyAlignment="1">
      <alignment horizontal="left"/>
    </xf>
    <xf numFmtId="4" fontId="52" fillId="0" borderId="98" xfId="0" applyNumberFormat="1" applyFont="1" applyFill="1" applyBorder="1" applyAlignment="1">
      <alignment/>
    </xf>
    <xf numFmtId="4" fontId="52" fillId="0" borderId="19" xfId="0" applyNumberFormat="1" applyFont="1" applyFill="1" applyBorder="1" applyAlignment="1">
      <alignment horizontal="right"/>
    </xf>
    <xf numFmtId="4" fontId="52" fillId="0" borderId="60" xfId="0" applyNumberFormat="1" applyFont="1" applyFill="1" applyBorder="1" applyAlignment="1">
      <alignment horizontal="left"/>
    </xf>
    <xf numFmtId="4" fontId="72" fillId="0" borderId="110" xfId="0" applyNumberFormat="1" applyFont="1" applyFill="1" applyBorder="1" applyAlignment="1">
      <alignment/>
    </xf>
    <xf numFmtId="4" fontId="52" fillId="0" borderId="4" xfId="0" applyNumberFormat="1" applyFont="1" applyFill="1" applyBorder="1" applyAlignment="1">
      <alignment horizontal="right"/>
    </xf>
    <xf numFmtId="2" fontId="52" fillId="0" borderId="46" xfId="0" applyNumberFormat="1" applyFont="1" applyFill="1" applyBorder="1" applyAlignment="1">
      <alignment horizontal="right"/>
    </xf>
    <xf numFmtId="2" fontId="52" fillId="0" borderId="3" xfId="0" applyNumberFormat="1" applyFont="1" applyFill="1" applyBorder="1" applyAlignment="1">
      <alignment horizontal="right"/>
    </xf>
    <xf numFmtId="2" fontId="52" fillId="0" borderId="60" xfId="0" applyNumberFormat="1" applyFont="1" applyFill="1" applyBorder="1" applyAlignment="1">
      <alignment horizontal="right"/>
    </xf>
    <xf numFmtId="2" fontId="52" fillId="0" borderId="109" xfId="0" applyNumberFormat="1" applyFont="1" applyFill="1" applyBorder="1" applyAlignment="1">
      <alignment horizontal="right"/>
    </xf>
    <xf numFmtId="2" fontId="52" fillId="0" borderId="75" xfId="0" applyNumberFormat="1" applyFont="1" applyFill="1" applyBorder="1" applyAlignment="1">
      <alignment horizontal="right"/>
    </xf>
    <xf numFmtId="0" fontId="97" fillId="0" borderId="0" xfId="28" applyFont="1" applyFill="1" applyBorder="1" applyAlignment="1">
      <alignment horizontal="left"/>
      <protection/>
    </xf>
    <xf numFmtId="0" fontId="0" fillId="0" borderId="0" xfId="0" applyFill="1" applyAlignment="1">
      <alignment horizontal="right"/>
    </xf>
    <xf numFmtId="0" fontId="17" fillId="0" borderId="0" xfId="0" applyFont="1" applyFill="1" applyBorder="1" applyAlignment="1">
      <alignment/>
    </xf>
    <xf numFmtId="0" fontId="64" fillId="0" borderId="0" xfId="27" applyFont="1" applyFill="1" applyBorder="1" applyAlignment="1">
      <alignment horizontal="center"/>
      <protection/>
    </xf>
    <xf numFmtId="0" fontId="52" fillId="0" borderId="0" xfId="27" applyFont="1" applyFill="1" applyBorder="1" applyAlignment="1">
      <alignment horizontal="left"/>
      <protection/>
    </xf>
    <xf numFmtId="4" fontId="52" fillId="0" borderId="109" xfId="0" applyNumberFormat="1" applyFont="1" applyFill="1" applyBorder="1" applyAlignment="1">
      <alignment/>
    </xf>
    <xf numFmtId="0" fontId="16" fillId="0" borderId="108" xfId="23" applyFont="1" applyFill="1" applyBorder="1" applyAlignment="1">
      <alignment horizontal="center"/>
      <protection/>
    </xf>
    <xf numFmtId="4" fontId="52" fillId="0" borderId="103" xfId="0" applyNumberFormat="1" applyFont="1" applyFill="1" applyBorder="1" applyAlignment="1">
      <alignment/>
    </xf>
    <xf numFmtId="10" fontId="52" fillId="0" borderId="103" xfId="0" applyNumberFormat="1" applyFont="1" applyFill="1" applyBorder="1" applyAlignment="1">
      <alignment/>
    </xf>
    <xf numFmtId="0" fontId="60" fillId="11" borderId="88" xfId="0" applyFont="1" applyFill="1" applyBorder="1" applyAlignment="1">
      <alignment/>
    </xf>
    <xf numFmtId="4" fontId="0" fillId="11" borderId="51" xfId="0" applyNumberFormat="1" applyFill="1" applyBorder="1" applyAlignment="1">
      <alignment/>
    </xf>
    <xf numFmtId="4" fontId="0" fillId="11" borderId="52" xfId="0" applyNumberFormat="1" applyFill="1" applyBorder="1" applyAlignment="1">
      <alignment/>
    </xf>
    <xf numFmtId="0" fontId="0" fillId="11" borderId="58" xfId="0" applyFill="1" applyBorder="1" applyAlignment="1">
      <alignment/>
    </xf>
    <xf numFmtId="4" fontId="60" fillId="11" borderId="59" xfId="0" applyNumberFormat="1" applyFont="1" applyFill="1" applyBorder="1" applyAlignment="1">
      <alignment/>
    </xf>
    <xf numFmtId="4" fontId="0" fillId="0" borderId="62" xfId="0" applyNumberFormat="1" applyBorder="1" applyAlignment="1">
      <alignment/>
    </xf>
    <xf numFmtId="4" fontId="60" fillId="0" borderId="95" xfId="0" applyNumberFormat="1" applyFont="1" applyBorder="1" applyAlignment="1">
      <alignment/>
    </xf>
    <xf numFmtId="0" fontId="0" fillId="0" borderId="73" xfId="0" applyBorder="1" applyAlignment="1">
      <alignment/>
    </xf>
    <xf numFmtId="4" fontId="60" fillId="0" borderId="74" xfId="0" applyNumberFormat="1" applyFont="1" applyBorder="1" applyAlignment="1">
      <alignment/>
    </xf>
    <xf numFmtId="0" fontId="0" fillId="0" borderId="73" xfId="0" applyFill="1" applyBorder="1" applyAlignment="1">
      <alignment/>
    </xf>
    <xf numFmtId="4" fontId="60" fillId="0" borderId="74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0" fillId="0" borderId="89" xfId="0" applyNumberFormat="1" applyBorder="1" applyAlignment="1">
      <alignment/>
    </xf>
    <xf numFmtId="4" fontId="60" fillId="0" borderId="6" xfId="0" applyNumberFormat="1" applyFont="1" applyBorder="1" applyAlignment="1">
      <alignment/>
    </xf>
    <xf numFmtId="0" fontId="60" fillId="10" borderId="0" xfId="0" applyFont="1" applyFill="1" applyBorder="1" applyAlignment="1">
      <alignment/>
    </xf>
    <xf numFmtId="4" fontId="0" fillId="10" borderId="0" xfId="0" applyNumberFormat="1" applyFill="1" applyAlignment="1">
      <alignment/>
    </xf>
    <xf numFmtId="4" fontId="60" fillId="11" borderId="56" xfId="0" applyNumberFormat="1" applyFont="1" applyFill="1" applyBorder="1" applyAlignment="1">
      <alignment/>
    </xf>
    <xf numFmtId="0" fontId="60" fillId="10" borderId="2" xfId="0" applyFont="1" applyFill="1" applyBorder="1" applyAlignment="1">
      <alignment/>
    </xf>
    <xf numFmtId="0" fontId="98" fillId="4" borderId="0" xfId="20" applyFont="1" applyFill="1" applyBorder="1">
      <alignment/>
      <protection/>
    </xf>
    <xf numFmtId="0" fontId="98" fillId="4" borderId="0" xfId="20" applyFont="1" applyFill="1">
      <alignment/>
      <protection/>
    </xf>
    <xf numFmtId="0" fontId="99" fillId="4" borderId="0" xfId="20" applyFont="1" applyFill="1">
      <alignment/>
      <protection/>
    </xf>
    <xf numFmtId="0" fontId="100" fillId="0" borderId="0" xfId="27" applyFont="1" applyBorder="1" applyAlignment="1">
      <alignment horizontal="left"/>
      <protection/>
    </xf>
    <xf numFmtId="0" fontId="98" fillId="4" borderId="0" xfId="20" applyFont="1" applyFill="1" applyAlignment="1">
      <alignment horizontal="centerContinuous"/>
      <protection/>
    </xf>
    <xf numFmtId="0" fontId="100" fillId="4" borderId="61" xfId="20" applyFont="1" applyFill="1" applyBorder="1" applyAlignment="1">
      <alignment horizontal="centerContinuous" vertical="center" wrapText="1"/>
      <protection/>
    </xf>
    <xf numFmtId="0" fontId="100" fillId="4" borderId="63" xfId="20" applyFont="1" applyFill="1" applyBorder="1" applyAlignment="1">
      <alignment horizontal="centerContinuous"/>
      <protection/>
    </xf>
    <xf numFmtId="0" fontId="100" fillId="4" borderId="61" xfId="20" applyFont="1" applyFill="1" applyBorder="1" applyAlignment="1">
      <alignment horizontal="centerContinuous" vertical="top" wrapText="1"/>
      <protection/>
    </xf>
    <xf numFmtId="0" fontId="100" fillId="4" borderId="63" xfId="20" applyFont="1" applyFill="1" applyBorder="1" applyAlignment="1">
      <alignment horizontal="centerContinuous" vertical="top" wrapText="1"/>
      <protection/>
    </xf>
    <xf numFmtId="0" fontId="98" fillId="4" borderId="58" xfId="20" applyFont="1" applyFill="1" applyBorder="1" applyAlignment="1">
      <alignment horizontal="center"/>
      <protection/>
    </xf>
    <xf numFmtId="0" fontId="98" fillId="4" borderId="6" xfId="20" applyFont="1" applyFill="1" applyBorder="1" applyAlignment="1">
      <alignment horizontal="center"/>
      <protection/>
    </xf>
    <xf numFmtId="0" fontId="98" fillId="0" borderId="6" xfId="20" applyFont="1" applyFill="1" applyBorder="1" applyAlignment="1">
      <alignment horizontal="center"/>
      <protection/>
    </xf>
    <xf numFmtId="167" fontId="98" fillId="4" borderId="83" xfId="20" applyNumberFormat="1" applyFont="1" applyFill="1" applyBorder="1" applyAlignment="1">
      <alignment horizontal="center"/>
      <protection/>
    </xf>
    <xf numFmtId="167" fontId="98" fillId="4" borderId="49" xfId="20" applyNumberFormat="1" applyFont="1" applyFill="1" applyBorder="1" applyAlignment="1">
      <alignment horizontal="center"/>
      <protection/>
    </xf>
    <xf numFmtId="0" fontId="60" fillId="10" borderId="0" xfId="20" applyFont="1" applyFill="1">
      <alignment/>
      <protection/>
    </xf>
    <xf numFmtId="0" fontId="0" fillId="10" borderId="0" xfId="20" applyFill="1">
      <alignment/>
      <protection/>
    </xf>
    <xf numFmtId="0" fontId="0" fillId="0" borderId="0" xfId="20">
      <alignment/>
      <protection/>
    </xf>
    <xf numFmtId="167" fontId="100" fillId="10" borderId="0" xfId="20" applyNumberFormat="1" applyFont="1" applyFill="1" applyBorder="1" applyAlignment="1">
      <alignment horizontal="center"/>
      <protection/>
    </xf>
    <xf numFmtId="0" fontId="98" fillId="10" borderId="0" xfId="20" applyFont="1" applyFill="1" applyBorder="1" applyAlignment="1">
      <alignment horizontal="center"/>
      <protection/>
    </xf>
    <xf numFmtId="167" fontId="98" fillId="10" borderId="0" xfId="20" applyNumberFormat="1" applyFont="1" applyFill="1" applyBorder="1" applyAlignment="1">
      <alignment horizontal="center"/>
      <protection/>
    </xf>
    <xf numFmtId="0" fontId="0" fillId="0" borderId="0" xfId="20" applyFont="1">
      <alignment/>
      <protection/>
    </xf>
    <xf numFmtId="0" fontId="100" fillId="4" borderId="0" xfId="20" applyFont="1" applyFill="1">
      <alignment/>
      <protection/>
    </xf>
    <xf numFmtId="0" fontId="77" fillId="0" borderId="0" xfId="0" applyFont="1" applyAlignment="1">
      <alignment/>
    </xf>
    <xf numFmtId="0" fontId="76" fillId="0" borderId="88" xfId="0" applyFont="1" applyBorder="1" applyAlignment="1">
      <alignment horizontal="center"/>
    </xf>
    <xf numFmtId="0" fontId="76" fillId="0" borderId="92" xfId="0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Fill="1" applyBorder="1" applyAlignment="1">
      <alignment/>
    </xf>
    <xf numFmtId="4" fontId="17" fillId="0" borderId="0" xfId="0" applyNumberFormat="1" applyFont="1" applyAlignment="1">
      <alignment horizontal="right"/>
    </xf>
    <xf numFmtId="0" fontId="98" fillId="0" borderId="0" xfId="27" applyFont="1" applyBorder="1" applyAlignment="1">
      <alignment horizontal="left"/>
      <protection/>
    </xf>
    <xf numFmtId="0" fontId="98" fillId="4" borderId="0" xfId="20" applyFont="1" applyFill="1" applyAlignment="1">
      <alignment horizontal="right"/>
      <protection/>
    </xf>
    <xf numFmtId="0" fontId="0" fillId="0" borderId="0" xfId="20" applyFill="1">
      <alignment/>
      <protection/>
    </xf>
    <xf numFmtId="0" fontId="98" fillId="0" borderId="0" xfId="20" applyFont="1" applyFill="1">
      <alignment/>
      <protection/>
    </xf>
    <xf numFmtId="0" fontId="101" fillId="0" borderId="88" xfId="0" applyFont="1" applyBorder="1" applyAlignment="1">
      <alignment horizontal="left"/>
    </xf>
    <xf numFmtId="0" fontId="101" fillId="4" borderId="46" xfId="0" applyFont="1" applyFill="1" applyBorder="1" applyAlignment="1">
      <alignment horizontal="center" vertical="center" wrapText="1"/>
    </xf>
    <xf numFmtId="0" fontId="101" fillId="0" borderId="63" xfId="0" applyFont="1" applyBorder="1" applyAlignment="1">
      <alignment horizontal="center"/>
    </xf>
    <xf numFmtId="0" fontId="73" fillId="0" borderId="63" xfId="0" applyFont="1" applyBorder="1" applyAlignment="1">
      <alignment horizontal="left"/>
    </xf>
    <xf numFmtId="0" fontId="101" fillId="0" borderId="58" xfId="0" applyFont="1" applyBorder="1" applyAlignment="1">
      <alignment horizontal="left"/>
    </xf>
    <xf numFmtId="0" fontId="101" fillId="4" borderId="101" xfId="0" applyFont="1" applyFill="1" applyBorder="1" applyAlignment="1">
      <alignment horizontal="center" vertical="center" wrapText="1"/>
    </xf>
    <xf numFmtId="0" fontId="101" fillId="4" borderId="89" xfId="0" applyFont="1" applyFill="1" applyBorder="1" applyAlignment="1">
      <alignment horizontal="center" vertical="center" wrapText="1"/>
    </xf>
    <xf numFmtId="0" fontId="101" fillId="4" borderId="89" xfId="0" applyFont="1" applyFill="1" applyBorder="1" applyAlignment="1">
      <alignment horizontal="center" wrapText="1"/>
    </xf>
    <xf numFmtId="0" fontId="101" fillId="0" borderId="104" xfId="0" applyFont="1" applyBorder="1" applyAlignment="1">
      <alignment horizontal="center"/>
    </xf>
    <xf numFmtId="0" fontId="101" fillId="4" borderId="90" xfId="0" applyFont="1" applyFill="1" applyBorder="1" applyAlignment="1">
      <alignment horizontal="center" vertical="center" wrapText="1"/>
    </xf>
    <xf numFmtId="0" fontId="101" fillId="4" borderId="55" xfId="0" applyFont="1" applyFill="1" applyBorder="1" applyAlignment="1">
      <alignment horizontal="center" vertical="center" wrapText="1"/>
    </xf>
    <xf numFmtId="0" fontId="101" fillId="0" borderId="91" xfId="0" applyFont="1" applyBorder="1" applyAlignment="1">
      <alignment horizontal="center"/>
    </xf>
    <xf numFmtId="0" fontId="73" fillId="0" borderId="97" xfId="0" applyFont="1" applyBorder="1" applyAlignment="1">
      <alignment/>
    </xf>
    <xf numFmtId="4" fontId="73" fillId="4" borderId="97" xfId="0" applyNumberFormat="1" applyFont="1" applyFill="1" applyBorder="1" applyAlignment="1">
      <alignment/>
    </xf>
    <xf numFmtId="4" fontId="73" fillId="4" borderId="68" xfId="0" applyNumberFormat="1" applyFont="1" applyFill="1" applyBorder="1" applyAlignment="1">
      <alignment/>
    </xf>
    <xf numFmtId="4" fontId="101" fillId="0" borderId="100" xfId="0" applyNumberFormat="1" applyFont="1" applyBorder="1" applyAlignment="1">
      <alignment/>
    </xf>
    <xf numFmtId="4" fontId="73" fillId="4" borderId="20" xfId="0" applyNumberFormat="1" applyFont="1" applyFill="1" applyBorder="1" applyAlignment="1">
      <alignment/>
    </xf>
    <xf numFmtId="4" fontId="73" fillId="0" borderId="109" xfId="0" applyNumberFormat="1" applyFont="1" applyBorder="1" applyAlignment="1">
      <alignment/>
    </xf>
    <xf numFmtId="4" fontId="101" fillId="0" borderId="109" xfId="0" applyNumberFormat="1" applyFont="1" applyBorder="1" applyAlignment="1">
      <alignment/>
    </xf>
    <xf numFmtId="0" fontId="73" fillId="0" borderId="73" xfId="0" applyFont="1" applyBorder="1" applyAlignment="1">
      <alignment/>
    </xf>
    <xf numFmtId="4" fontId="73" fillId="4" borderId="73" xfId="0" applyNumberFormat="1" applyFont="1" applyFill="1" applyBorder="1" applyAlignment="1">
      <alignment/>
    </xf>
    <xf numFmtId="4" fontId="73" fillId="4" borderId="70" xfId="0" applyNumberFormat="1" applyFont="1" applyFill="1" applyBorder="1" applyAlignment="1">
      <alignment/>
    </xf>
    <xf numFmtId="4" fontId="101" fillId="0" borderId="74" xfId="0" applyNumberFormat="1" applyFont="1" applyBorder="1" applyAlignment="1">
      <alignment/>
    </xf>
    <xf numFmtId="4" fontId="73" fillId="4" borderId="66" xfId="0" applyNumberFormat="1" applyFont="1" applyFill="1" applyBorder="1" applyAlignment="1">
      <alignment/>
    </xf>
    <xf numFmtId="4" fontId="73" fillId="0" borderId="67" xfId="0" applyNumberFormat="1" applyFont="1" applyBorder="1" applyAlignment="1">
      <alignment/>
    </xf>
    <xf numFmtId="4" fontId="101" fillId="0" borderId="67" xfId="0" applyNumberFormat="1" applyFont="1" applyBorder="1" applyAlignment="1">
      <alignment/>
    </xf>
    <xf numFmtId="0" fontId="73" fillId="4" borderId="73" xfId="0" applyFont="1" applyFill="1" applyBorder="1" applyAlignment="1">
      <alignment/>
    </xf>
    <xf numFmtId="0" fontId="101" fillId="4" borderId="101" xfId="0" applyFont="1" applyFill="1" applyBorder="1" applyAlignment="1">
      <alignment/>
    </xf>
    <xf numFmtId="4" fontId="101" fillId="4" borderId="101" xfId="0" applyNumberFormat="1" applyFont="1" applyFill="1" applyBorder="1" applyAlignment="1">
      <alignment/>
    </xf>
    <xf numFmtId="4" fontId="101" fillId="4" borderId="89" xfId="0" applyNumberFormat="1" applyFont="1" applyFill="1" applyBorder="1" applyAlignment="1">
      <alignment/>
    </xf>
    <xf numFmtId="4" fontId="101" fillId="4" borderId="104" xfId="0" applyNumberFormat="1" applyFont="1" applyFill="1" applyBorder="1" applyAlignment="1">
      <alignment/>
    </xf>
    <xf numFmtId="4" fontId="101" fillId="4" borderId="90" xfId="0" applyNumberFormat="1" applyFont="1" applyFill="1" applyBorder="1" applyAlignment="1">
      <alignment/>
    </xf>
    <xf numFmtId="4" fontId="101" fillId="4" borderId="105" xfId="0" applyNumberFormat="1" applyFont="1" applyFill="1" applyBorder="1" applyAlignment="1">
      <alignment/>
    </xf>
    <xf numFmtId="4" fontId="101" fillId="4" borderId="91" xfId="0" applyNumberFormat="1" applyFont="1" applyFill="1" applyBorder="1" applyAlignment="1">
      <alignment/>
    </xf>
    <xf numFmtId="4" fontId="73" fillId="0" borderId="71" xfId="0" applyNumberFormat="1" applyFont="1" applyBorder="1" applyAlignment="1">
      <alignment/>
    </xf>
    <xf numFmtId="4" fontId="101" fillId="0" borderId="108" xfId="0" applyNumberFormat="1" applyFont="1" applyBorder="1" applyAlignment="1">
      <alignment/>
    </xf>
    <xf numFmtId="4" fontId="73" fillId="0" borderId="108" xfId="0" applyNumberFormat="1" applyFont="1" applyBorder="1" applyAlignment="1">
      <alignment/>
    </xf>
    <xf numFmtId="4" fontId="101" fillId="0" borderId="75" xfId="0" applyNumberFormat="1" applyFont="1" applyBorder="1" applyAlignment="1">
      <alignment/>
    </xf>
    <xf numFmtId="4" fontId="73" fillId="0" borderId="60" xfId="0" applyNumberFormat="1" applyFont="1" applyBorder="1" applyAlignment="1">
      <alignment/>
    </xf>
    <xf numFmtId="0" fontId="101" fillId="0" borderId="73" xfId="0" applyFont="1" applyBorder="1" applyAlignment="1">
      <alignment/>
    </xf>
    <xf numFmtId="4" fontId="101" fillId="4" borderId="73" xfId="0" applyNumberFormat="1" applyFont="1" applyFill="1" applyBorder="1" applyAlignment="1">
      <alignment/>
    </xf>
    <xf numFmtId="4" fontId="101" fillId="4" borderId="66" xfId="0" applyNumberFormat="1" applyFont="1" applyFill="1" applyBorder="1" applyAlignment="1">
      <alignment/>
    </xf>
    <xf numFmtId="4" fontId="101" fillId="4" borderId="70" xfId="0" applyNumberFormat="1" applyFont="1" applyFill="1" applyBorder="1" applyAlignment="1">
      <alignment/>
    </xf>
    <xf numFmtId="4" fontId="101" fillId="4" borderId="74" xfId="0" applyNumberFormat="1" applyFont="1" applyFill="1" applyBorder="1" applyAlignment="1">
      <alignment/>
    </xf>
    <xf numFmtId="4" fontId="101" fillId="4" borderId="72" xfId="0" applyNumberFormat="1" applyFont="1" applyFill="1" applyBorder="1" applyAlignment="1">
      <alignment/>
    </xf>
    <xf numFmtId="4" fontId="101" fillId="4" borderId="75" xfId="0" applyNumberFormat="1" applyFont="1" applyFill="1" applyBorder="1" applyAlignment="1">
      <alignment/>
    </xf>
    <xf numFmtId="0" fontId="73" fillId="0" borderId="73" xfId="0" applyFont="1" applyFill="1" applyBorder="1" applyAlignment="1">
      <alignment/>
    </xf>
    <xf numFmtId="4" fontId="73" fillId="4" borderId="53" xfId="0" applyNumberFormat="1" applyFont="1" applyFill="1" applyBorder="1" applyAlignment="1">
      <alignment/>
    </xf>
    <xf numFmtId="0" fontId="101" fillId="0" borderId="75" xfId="0" applyFont="1" applyBorder="1" applyAlignment="1">
      <alignment/>
    </xf>
    <xf numFmtId="4" fontId="101" fillId="4" borderId="71" xfId="0" applyNumberFormat="1" applyFont="1" applyFill="1" applyBorder="1" applyAlignment="1">
      <alignment/>
    </xf>
    <xf numFmtId="0" fontId="73" fillId="4" borderId="75" xfId="0" applyFont="1" applyFill="1" applyBorder="1" applyAlignment="1">
      <alignment/>
    </xf>
    <xf numFmtId="0" fontId="101" fillId="4" borderId="75" xfId="0" applyFont="1" applyFill="1" applyBorder="1" applyAlignment="1">
      <alignment/>
    </xf>
    <xf numFmtId="4" fontId="73" fillId="0" borderId="70" xfId="0" applyNumberFormat="1" applyFont="1" applyFill="1" applyBorder="1" applyAlignment="1">
      <alignment/>
    </xf>
    <xf numFmtId="0" fontId="73" fillId="0" borderId="75" xfId="0" applyFont="1" applyBorder="1" applyAlignment="1">
      <alignment/>
    </xf>
    <xf numFmtId="3" fontId="101" fillId="0" borderId="103" xfId="0" applyNumberFormat="1" applyFont="1" applyBorder="1" applyAlignment="1">
      <alignment/>
    </xf>
    <xf numFmtId="4" fontId="101" fillId="4" borderId="103" xfId="0" applyNumberFormat="1" applyFont="1" applyFill="1" applyBorder="1" applyAlignment="1">
      <alignment/>
    </xf>
    <xf numFmtId="0" fontId="70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0" xfId="0" applyFont="1" applyAlignment="1">
      <alignment horizontal="right"/>
    </xf>
    <xf numFmtId="4" fontId="71" fillId="0" borderId="0" xfId="0" applyNumberFormat="1" applyFont="1" applyAlignment="1">
      <alignment/>
    </xf>
    <xf numFmtId="4" fontId="71" fillId="0" borderId="0" xfId="0" applyNumberFormat="1" applyFont="1" applyAlignment="1">
      <alignment horizontal="right"/>
    </xf>
    <xf numFmtId="0" fontId="64" fillId="0" borderId="47" xfId="23" applyFont="1" applyFill="1" applyBorder="1" applyAlignment="1" applyProtection="1">
      <alignment horizontal="left" vertical="center" wrapText="1"/>
      <protection locked="0"/>
    </xf>
    <xf numFmtId="4" fontId="25" fillId="0" borderId="2" xfId="23" applyNumberFormat="1" applyFont="1" applyFill="1" applyBorder="1" applyAlignment="1" applyProtection="1">
      <alignment horizontal="right"/>
      <protection locked="0"/>
    </xf>
    <xf numFmtId="49" fontId="16" fillId="0" borderId="0" xfId="23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4" fontId="25" fillId="0" borderId="0" xfId="23" applyNumberFormat="1" applyFont="1" applyFill="1" applyBorder="1" applyAlignment="1" applyProtection="1">
      <alignment horizontal="right"/>
      <protection locked="0"/>
    </xf>
    <xf numFmtId="3" fontId="16" fillId="0" borderId="0" xfId="23" applyNumberFormat="1" applyFont="1" applyFill="1" applyBorder="1" applyAlignment="1" applyProtection="1">
      <alignment horizontal="right"/>
      <protection locked="0"/>
    </xf>
    <xf numFmtId="0" fontId="71" fillId="0" borderId="0" xfId="0" applyFont="1" applyAlignment="1" applyProtection="1">
      <alignment/>
      <protection locked="0"/>
    </xf>
    <xf numFmtId="0" fontId="104" fillId="0" borderId="0" xfId="0" applyFont="1" applyBorder="1" applyAlignment="1">
      <alignment/>
    </xf>
    <xf numFmtId="0" fontId="104" fillId="0" borderId="0" xfId="0" applyFont="1" applyAlignment="1">
      <alignment horizontal="right"/>
    </xf>
    <xf numFmtId="0" fontId="97" fillId="0" borderId="0" xfId="0" applyFont="1" applyAlignment="1">
      <alignment horizontal="right"/>
    </xf>
    <xf numFmtId="0" fontId="64" fillId="0" borderId="48" xfId="0" applyFont="1" applyFill="1" applyBorder="1" applyAlignment="1" applyProtection="1">
      <alignment horizontal="center" vertical="top" wrapText="1"/>
      <protection locked="0"/>
    </xf>
    <xf numFmtId="0" fontId="64" fillId="0" borderId="47" xfId="0" applyFont="1" applyFill="1" applyBorder="1" applyAlignment="1" applyProtection="1">
      <alignment horizontal="center" vertical="top" wrapText="1"/>
      <protection locked="0"/>
    </xf>
    <xf numFmtId="0" fontId="64" fillId="0" borderId="107" xfId="0" applyFont="1" applyFill="1" applyBorder="1" applyAlignment="1" applyProtection="1">
      <alignment horizontal="center" vertical="top" wrapText="1"/>
      <protection locked="0"/>
    </xf>
    <xf numFmtId="0" fontId="52" fillId="0" borderId="107" xfId="23" applyFont="1" applyFill="1" applyBorder="1" applyAlignment="1" applyProtection="1">
      <alignment horizontal="center"/>
      <protection locked="0"/>
    </xf>
    <xf numFmtId="0" fontId="52" fillId="0" borderId="49" xfId="23" applyFont="1" applyFill="1" applyBorder="1" applyAlignment="1" applyProtection="1">
      <alignment horizontal="center"/>
      <protection locked="0"/>
    </xf>
    <xf numFmtId="0" fontId="52" fillId="0" borderId="47" xfId="23" applyFont="1" applyFill="1" applyBorder="1" applyAlignment="1" applyProtection="1">
      <alignment horizontal="center"/>
      <protection locked="0"/>
    </xf>
    <xf numFmtId="0" fontId="52" fillId="0" borderId="48" xfId="23" applyFont="1" applyFill="1" applyBorder="1" applyAlignment="1" applyProtection="1">
      <alignment horizontal="center"/>
      <protection locked="0"/>
    </xf>
    <xf numFmtId="3" fontId="52" fillId="0" borderId="107" xfId="23" applyNumberFormat="1" applyFont="1" applyFill="1" applyBorder="1" applyAlignment="1" applyProtection="1">
      <alignment horizontal="center"/>
      <protection locked="0"/>
    </xf>
    <xf numFmtId="3" fontId="52" fillId="0" borderId="46" xfId="0" applyNumberFormat="1" applyFont="1" applyFill="1" applyBorder="1" applyAlignment="1" applyProtection="1">
      <alignment horizontal="center"/>
      <protection locked="0"/>
    </xf>
    <xf numFmtId="49" fontId="64" fillId="0" borderId="63" xfId="23" applyNumberFormat="1" applyFont="1" applyFill="1" applyBorder="1" applyAlignment="1" applyProtection="1">
      <alignment horizontal="left" vertical="top"/>
      <protection locked="0"/>
    </xf>
    <xf numFmtId="49" fontId="52" fillId="0" borderId="61" xfId="23" applyNumberFormat="1" applyFont="1" applyFill="1" applyBorder="1" applyAlignment="1" applyProtection="1">
      <alignment horizontal="left" vertical="top" wrapText="1"/>
      <protection locked="0"/>
    </xf>
    <xf numFmtId="49" fontId="64" fillId="0" borderId="108" xfId="23" applyNumberFormat="1" applyFont="1" applyFill="1" applyBorder="1" applyAlignment="1" applyProtection="1">
      <alignment horizontal="center" vertical="top" wrapText="1"/>
      <protection locked="0"/>
    </xf>
    <xf numFmtId="4" fontId="52" fillId="0" borderId="63" xfId="23" applyNumberFormat="1" applyFont="1" applyFill="1" applyBorder="1" applyAlignment="1" applyProtection="1">
      <alignment horizontal="right"/>
      <protection locked="0"/>
    </xf>
    <xf numFmtId="4" fontId="52" fillId="0" borderId="3" xfId="23" applyNumberFormat="1" applyFont="1" applyFill="1" applyBorder="1" applyAlignment="1" applyProtection="1">
      <alignment horizontal="right"/>
      <protection locked="0"/>
    </xf>
    <xf numFmtId="4" fontId="52" fillId="0" borderId="96" xfId="23" applyNumberFormat="1" applyFont="1" applyFill="1" applyBorder="1" applyAlignment="1" applyProtection="1">
      <alignment horizontal="right"/>
      <protection locked="0"/>
    </xf>
    <xf numFmtId="4" fontId="52" fillId="0" borderId="108" xfId="23" applyNumberFormat="1" applyFont="1" applyFill="1" applyBorder="1" applyAlignment="1" applyProtection="1">
      <alignment horizontal="right"/>
      <protection locked="0"/>
    </xf>
    <xf numFmtId="4" fontId="52" fillId="0" borderId="2" xfId="23" applyNumberFormat="1" applyFont="1" applyFill="1" applyBorder="1" applyAlignment="1" applyProtection="1">
      <alignment horizontal="right"/>
      <protection locked="0"/>
    </xf>
    <xf numFmtId="4" fontId="52" fillId="0" borderId="46" xfId="23" applyNumberFormat="1" applyFont="1" applyFill="1" applyBorder="1" applyAlignment="1" applyProtection="1">
      <alignment horizontal="right"/>
      <protection locked="0"/>
    </xf>
    <xf numFmtId="3" fontId="52" fillId="0" borderId="63" xfId="23" applyNumberFormat="1" applyFont="1" applyFill="1" applyBorder="1" applyAlignment="1" applyProtection="1">
      <alignment horizontal="right"/>
      <protection locked="0"/>
    </xf>
    <xf numFmtId="49" fontId="64" fillId="0" borderId="109" xfId="23" applyNumberFormat="1" applyFont="1" applyFill="1" applyBorder="1" applyAlignment="1" applyProtection="1">
      <alignment horizontal="center"/>
      <protection locked="0"/>
    </xf>
    <xf numFmtId="49" fontId="52" fillId="0" borderId="19" xfId="23" applyNumberFormat="1" applyFont="1" applyFill="1" applyBorder="1" applyAlignment="1" applyProtection="1">
      <alignment horizontal="left"/>
      <protection locked="0"/>
    </xf>
    <xf numFmtId="49" fontId="64" fillId="0" borderId="75" xfId="23" applyNumberFormat="1" applyFont="1" applyFill="1" applyBorder="1" applyAlignment="1" applyProtection="1">
      <alignment horizontal="center"/>
      <protection locked="0"/>
    </xf>
    <xf numFmtId="4" fontId="52" fillId="0" borderId="109" xfId="23" applyNumberFormat="1" applyFont="1" applyFill="1" applyBorder="1" applyAlignment="1" applyProtection="1">
      <alignment horizontal="right"/>
      <protection locked="0"/>
    </xf>
    <xf numFmtId="4" fontId="52" fillId="0" borderId="28" xfId="23" applyNumberFormat="1" applyFont="1" applyFill="1" applyBorder="1" applyAlignment="1" applyProtection="1">
      <alignment horizontal="right"/>
      <protection locked="0"/>
    </xf>
    <xf numFmtId="4" fontId="52" fillId="0" borderId="75" xfId="23" applyNumberFormat="1" applyFont="1" applyFill="1" applyBorder="1" applyAlignment="1" applyProtection="1">
      <alignment horizontal="right"/>
      <protection locked="0"/>
    </xf>
    <xf numFmtId="4" fontId="52" fillId="0" borderId="69" xfId="23" applyNumberFormat="1" applyFont="1" applyFill="1" applyBorder="1" applyAlignment="1" applyProtection="1">
      <alignment horizontal="right"/>
      <protection locked="0"/>
    </xf>
    <xf numFmtId="4" fontId="52" fillId="0" borderId="99" xfId="23" applyNumberFormat="1" applyFont="1" applyFill="1" applyBorder="1" applyAlignment="1" applyProtection="1">
      <alignment horizontal="right"/>
      <protection locked="0"/>
    </xf>
    <xf numFmtId="4" fontId="52" fillId="0" borderId="79" xfId="23" applyNumberFormat="1" applyFont="1" applyFill="1" applyBorder="1" applyAlignment="1" applyProtection="1">
      <alignment horizontal="right"/>
      <protection locked="0"/>
    </xf>
    <xf numFmtId="4" fontId="52" fillId="0" borderId="82" xfId="23" applyNumberFormat="1" applyFont="1" applyFill="1" applyBorder="1" applyAlignment="1" applyProtection="1">
      <alignment horizontal="right"/>
      <protection locked="0"/>
    </xf>
    <xf numFmtId="3" fontId="52" fillId="0" borderId="109" xfId="23" applyNumberFormat="1" applyFont="1" applyFill="1" applyBorder="1" applyAlignment="1" applyProtection="1">
      <alignment horizontal="right"/>
      <protection locked="0"/>
    </xf>
    <xf numFmtId="3" fontId="52" fillId="0" borderId="60" xfId="23" applyNumberFormat="1" applyFont="1" applyFill="1" applyBorder="1" applyAlignment="1" applyProtection="1">
      <alignment horizontal="right"/>
      <protection locked="0"/>
    </xf>
    <xf numFmtId="49" fontId="52" fillId="0" borderId="50" xfId="23" applyNumberFormat="1" applyFont="1" applyFill="1" applyBorder="1" applyAlignment="1" applyProtection="1">
      <alignment horizontal="center"/>
      <protection locked="0"/>
    </xf>
    <xf numFmtId="49" fontId="52" fillId="0" borderId="76" xfId="23" applyNumberFormat="1" applyFont="1" applyFill="1" applyBorder="1" applyAlignment="1" applyProtection="1">
      <alignment horizontal="left"/>
      <protection locked="0"/>
    </xf>
    <xf numFmtId="49" fontId="64" fillId="0" borderId="99" xfId="23" applyNumberFormat="1" applyFont="1" applyFill="1" applyBorder="1" applyAlignment="1" applyProtection="1">
      <alignment horizontal="center"/>
      <protection locked="0"/>
    </xf>
    <xf numFmtId="4" fontId="52" fillId="0" borderId="21" xfId="23" applyNumberFormat="1" applyFont="1" applyFill="1" applyBorder="1" applyAlignment="1" applyProtection="1">
      <alignment horizontal="right"/>
      <protection locked="0"/>
    </xf>
    <xf numFmtId="4" fontId="52" fillId="0" borderId="0" xfId="23" applyNumberFormat="1" applyFont="1" applyFill="1" applyBorder="1" applyAlignment="1" applyProtection="1">
      <alignment horizontal="right"/>
      <protection locked="0"/>
    </xf>
    <xf numFmtId="4" fontId="52" fillId="0" borderId="71" xfId="23" applyNumberFormat="1" applyFont="1" applyFill="1" applyBorder="1" applyAlignment="1" applyProtection="1">
      <alignment horizontal="right"/>
      <protection locked="0"/>
    </xf>
    <xf numFmtId="4" fontId="52" fillId="0" borderId="67" xfId="23" applyNumberFormat="1" applyFont="1" applyFill="1" applyBorder="1" applyAlignment="1" applyProtection="1">
      <alignment horizontal="right"/>
      <protection locked="0"/>
    </xf>
    <xf numFmtId="4" fontId="52" fillId="0" borderId="66" xfId="23" applyNumberFormat="1" applyFont="1" applyFill="1" applyBorder="1" applyAlignment="1" applyProtection="1">
      <alignment horizontal="right"/>
      <protection locked="0"/>
    </xf>
    <xf numFmtId="3" fontId="52" fillId="0" borderId="21" xfId="23" applyNumberFormat="1" applyFont="1" applyFill="1" applyBorder="1" applyAlignment="1" applyProtection="1">
      <alignment horizontal="right"/>
      <protection locked="0"/>
    </xf>
    <xf numFmtId="3" fontId="52" fillId="0" borderId="50" xfId="23" applyNumberFormat="1" applyFont="1" applyFill="1" applyBorder="1" applyAlignment="1" applyProtection="1">
      <alignment horizontal="right"/>
      <protection locked="0"/>
    </xf>
    <xf numFmtId="49" fontId="64" fillId="0" borderId="21" xfId="23" applyNumberFormat="1" applyFont="1" applyFill="1" applyBorder="1" applyAlignment="1" applyProtection="1">
      <alignment horizontal="center"/>
      <protection locked="0"/>
    </xf>
    <xf numFmtId="0" fontId="52" fillId="0" borderId="103" xfId="0" applyFont="1" applyFill="1" applyBorder="1" applyAlignment="1" applyProtection="1">
      <alignment horizontal="center"/>
      <protection locked="0"/>
    </xf>
    <xf numFmtId="49" fontId="64" fillId="0" borderId="103" xfId="23" applyNumberFormat="1" applyFont="1" applyFill="1" applyBorder="1" applyAlignment="1" applyProtection="1">
      <alignment horizontal="center"/>
      <protection locked="0"/>
    </xf>
    <xf numFmtId="4" fontId="52" fillId="0" borderId="103" xfId="23" applyNumberFormat="1" applyFont="1" applyFill="1" applyBorder="1" applyAlignment="1" applyProtection="1">
      <alignment horizontal="right"/>
      <protection locked="0"/>
    </xf>
    <xf numFmtId="4" fontId="52" fillId="0" borderId="60" xfId="23" applyNumberFormat="1" applyFont="1" applyFill="1" applyBorder="1" applyAlignment="1" applyProtection="1">
      <alignment horizontal="right"/>
      <protection locked="0"/>
    </xf>
    <xf numFmtId="3" fontId="52" fillId="0" borderId="103" xfId="23" applyNumberFormat="1" applyFont="1" applyFill="1" applyBorder="1" applyAlignment="1" applyProtection="1">
      <alignment horizontal="right"/>
      <protection locked="0"/>
    </xf>
    <xf numFmtId="3" fontId="52" fillId="0" borderId="108" xfId="0" applyNumberFormat="1" applyFont="1" applyFill="1" applyBorder="1" applyAlignment="1" applyProtection="1">
      <alignment horizontal="center"/>
      <protection locked="0"/>
    </xf>
    <xf numFmtId="0" fontId="64" fillId="0" borderId="63" xfId="23" applyNumberFormat="1" applyFont="1" applyFill="1" applyBorder="1" applyAlignment="1" applyProtection="1">
      <alignment horizontal="left" vertical="top"/>
      <protection locked="0"/>
    </xf>
    <xf numFmtId="49" fontId="52" fillId="0" borderId="60" xfId="23" applyNumberFormat="1" applyFont="1" applyFill="1" applyBorder="1" applyAlignment="1" applyProtection="1">
      <alignment horizontal="center"/>
      <protection locked="0"/>
    </xf>
    <xf numFmtId="0" fontId="64" fillId="0" borderId="67" xfId="0" applyFont="1" applyFill="1" applyBorder="1" applyAlignment="1" applyProtection="1">
      <alignment/>
      <protection locked="0"/>
    </xf>
    <xf numFmtId="4" fontId="52" fillId="0" borderId="70" xfId="23" applyNumberFormat="1" applyFont="1" applyFill="1" applyBorder="1" applyAlignment="1" applyProtection="1">
      <alignment horizontal="right"/>
      <protection locked="0"/>
    </xf>
    <xf numFmtId="4" fontId="52" fillId="0" borderId="110" xfId="23" applyNumberFormat="1" applyFont="1" applyFill="1" applyBorder="1" applyAlignment="1" applyProtection="1">
      <alignment horizontal="right"/>
      <protection locked="0"/>
    </xf>
    <xf numFmtId="49" fontId="52" fillId="0" borderId="75" xfId="23" applyNumberFormat="1" applyFont="1" applyFill="1" applyBorder="1" applyAlignment="1" applyProtection="1">
      <alignment horizontal="center"/>
      <protection locked="0"/>
    </xf>
    <xf numFmtId="4" fontId="52" fillId="0" borderId="72" xfId="23" applyNumberFormat="1" applyFont="1" applyFill="1" applyBorder="1" applyAlignment="1" applyProtection="1">
      <alignment horizontal="right"/>
      <protection locked="0"/>
    </xf>
    <xf numFmtId="49" fontId="52" fillId="0" borderId="103" xfId="23" applyNumberFormat="1" applyFont="1" applyFill="1" applyBorder="1" applyAlignment="1" applyProtection="1">
      <alignment horizontal="center"/>
      <protection locked="0"/>
    </xf>
    <xf numFmtId="0" fontId="64" fillId="0" borderId="109" xfId="23" applyNumberFormat="1" applyFont="1" applyFill="1" applyBorder="1" applyAlignment="1" applyProtection="1">
      <alignment horizontal="left" vertical="top"/>
      <protection locked="0"/>
    </xf>
    <xf numFmtId="49" fontId="52" fillId="0" borderId="96" xfId="23" applyNumberFormat="1" applyFont="1" applyFill="1" applyBorder="1" applyAlignment="1" applyProtection="1">
      <alignment horizontal="left" vertical="top" wrapText="1"/>
      <protection locked="0"/>
    </xf>
    <xf numFmtId="49" fontId="52" fillId="0" borderId="28" xfId="23" applyNumberFormat="1" applyFont="1" applyFill="1" applyBorder="1" applyAlignment="1" applyProtection="1">
      <alignment horizontal="left"/>
      <protection locked="0"/>
    </xf>
    <xf numFmtId="4" fontId="52" fillId="0" borderId="73" xfId="23" applyNumberFormat="1" applyFont="1" applyFill="1" applyBorder="1" applyAlignment="1" applyProtection="1">
      <alignment horizontal="right"/>
      <protection locked="0"/>
    </xf>
    <xf numFmtId="49" fontId="52" fillId="0" borderId="0" xfId="23" applyNumberFormat="1" applyFont="1" applyFill="1" applyBorder="1" applyAlignment="1" applyProtection="1">
      <alignment horizontal="left"/>
      <protection locked="0"/>
    </xf>
    <xf numFmtId="49" fontId="52" fillId="0" borderId="19" xfId="23" applyNumberFormat="1" applyFont="1" applyFill="1" applyBorder="1" applyAlignment="1" applyProtection="1">
      <alignment horizontal="center"/>
      <protection locked="0"/>
    </xf>
    <xf numFmtId="0" fontId="64" fillId="0" borderId="108" xfId="23" applyNumberFormat="1" applyFont="1" applyFill="1" applyBorder="1" applyAlignment="1" applyProtection="1">
      <alignment horizontal="left" vertical="top"/>
      <protection locked="0"/>
    </xf>
    <xf numFmtId="0" fontId="64" fillId="0" borderId="75" xfId="0" applyFont="1" applyFill="1" applyBorder="1" applyAlignment="1" applyProtection="1">
      <alignment/>
      <protection locked="0"/>
    </xf>
    <xf numFmtId="4" fontId="52" fillId="0" borderId="19" xfId="23" applyNumberFormat="1" applyFont="1" applyFill="1" applyBorder="1" applyAlignment="1" applyProtection="1">
      <alignment horizontal="right"/>
      <protection locked="0"/>
    </xf>
    <xf numFmtId="49" fontId="52" fillId="0" borderId="76" xfId="23" applyNumberFormat="1" applyFont="1" applyFill="1" applyBorder="1" applyAlignment="1" applyProtection="1">
      <alignment horizontal="center"/>
      <protection locked="0"/>
    </xf>
    <xf numFmtId="0" fontId="64" fillId="0" borderId="99" xfId="0" applyFont="1" applyFill="1" applyBorder="1" applyAlignment="1" applyProtection="1">
      <alignment/>
      <protection locked="0"/>
    </xf>
    <xf numFmtId="4" fontId="52" fillId="0" borderId="50" xfId="23" applyNumberFormat="1" applyFont="1" applyFill="1" applyBorder="1" applyAlignment="1" applyProtection="1">
      <alignment horizontal="right"/>
      <protection locked="0"/>
    </xf>
    <xf numFmtId="3" fontId="52" fillId="0" borderId="75" xfId="23" applyNumberFormat="1" applyFont="1" applyFill="1" applyBorder="1" applyAlignment="1" applyProtection="1">
      <alignment horizontal="right"/>
      <protection locked="0"/>
    </xf>
    <xf numFmtId="4" fontId="52" fillId="0" borderId="55" xfId="23" applyNumberFormat="1" applyFont="1" applyFill="1" applyBorder="1" applyAlignment="1" applyProtection="1">
      <alignment horizontal="right"/>
      <protection locked="0"/>
    </xf>
    <xf numFmtId="4" fontId="52" fillId="0" borderId="4" xfId="23" applyNumberFormat="1" applyFont="1" applyFill="1" applyBorder="1" applyAlignment="1" applyProtection="1">
      <alignment horizontal="right"/>
      <protection locked="0"/>
    </xf>
    <xf numFmtId="3" fontId="52" fillId="0" borderId="55" xfId="23" applyNumberFormat="1" applyFont="1" applyFill="1" applyBorder="1" applyAlignment="1" applyProtection="1">
      <alignment horizontal="right"/>
      <protection locked="0"/>
    </xf>
    <xf numFmtId="49" fontId="52" fillId="0" borderId="108" xfId="23" applyNumberFormat="1" applyFont="1" applyFill="1" applyBorder="1" applyAlignment="1" applyProtection="1">
      <alignment horizontal="center"/>
      <protection locked="0"/>
    </xf>
    <xf numFmtId="49" fontId="64" fillId="0" borderId="108" xfId="23" applyNumberFormat="1" applyFont="1" applyFill="1" applyBorder="1" applyAlignment="1" applyProtection="1">
      <alignment horizontal="center"/>
      <protection locked="0"/>
    </xf>
    <xf numFmtId="49" fontId="52" fillId="0" borderId="71" xfId="23" applyNumberFormat="1" applyFont="1" applyFill="1" applyBorder="1" applyAlignment="1" applyProtection="1">
      <alignment horizontal="left"/>
      <protection locked="0"/>
    </xf>
    <xf numFmtId="0" fontId="64" fillId="0" borderId="91" xfId="0" applyFont="1" applyFill="1" applyBorder="1" applyAlignment="1" applyProtection="1">
      <alignment/>
      <protection locked="0"/>
    </xf>
    <xf numFmtId="49" fontId="52" fillId="0" borderId="46" xfId="23" applyNumberFormat="1" applyFont="1" applyFill="1" applyBorder="1" applyAlignment="1" applyProtection="1">
      <alignment horizontal="left"/>
      <protection locked="0"/>
    </xf>
    <xf numFmtId="49" fontId="52" fillId="0" borderId="75" xfId="23" applyNumberFormat="1" applyFont="1" applyFill="1" applyBorder="1" applyAlignment="1" applyProtection="1">
      <alignment horizontal="left"/>
      <protection locked="0"/>
    </xf>
    <xf numFmtId="0" fontId="64" fillId="0" borderId="103" xfId="0" applyFont="1" applyFill="1" applyBorder="1" applyAlignment="1" applyProtection="1">
      <alignment/>
      <protection locked="0"/>
    </xf>
    <xf numFmtId="49" fontId="52" fillId="0" borderId="28" xfId="23" applyNumberFormat="1" applyFont="1" applyFill="1" applyBorder="1" applyAlignment="1" applyProtection="1">
      <alignment horizontal="left" vertical="top" wrapText="1"/>
      <protection locked="0"/>
    </xf>
    <xf numFmtId="49" fontId="64" fillId="0" borderId="60" xfId="23" applyNumberFormat="1" applyFont="1" applyFill="1" applyBorder="1" applyAlignment="1" applyProtection="1">
      <alignment horizontal="center" vertical="top" wrapText="1"/>
      <protection locked="0"/>
    </xf>
    <xf numFmtId="4" fontId="52" fillId="0" borderId="61" xfId="23" applyNumberFormat="1" applyFont="1" applyFill="1" applyBorder="1" applyAlignment="1" applyProtection="1">
      <alignment horizontal="right"/>
      <protection locked="0"/>
    </xf>
    <xf numFmtId="49" fontId="64" fillId="0" borderId="91" xfId="23" applyNumberFormat="1" applyFont="1" applyFill="1" applyBorder="1" applyAlignment="1" applyProtection="1">
      <alignment horizontal="center"/>
      <protection locked="0"/>
    </xf>
    <xf numFmtId="3" fontId="52" fillId="0" borderId="3" xfId="23" applyNumberFormat="1" applyFont="1" applyFill="1" applyBorder="1" applyAlignment="1" applyProtection="1">
      <alignment horizontal="right"/>
      <protection locked="0"/>
    </xf>
    <xf numFmtId="49" fontId="52" fillId="0" borderId="106" xfId="23" applyNumberFormat="1" applyFont="1" applyFill="1" applyBorder="1" applyAlignment="1" applyProtection="1">
      <alignment horizontal="center"/>
      <protection locked="0"/>
    </xf>
    <xf numFmtId="49" fontId="64" fillId="0" borderId="50" xfId="23" applyNumberFormat="1" applyFont="1" applyFill="1" applyBorder="1" applyAlignment="1" applyProtection="1">
      <alignment horizontal="center"/>
      <protection locked="0"/>
    </xf>
    <xf numFmtId="0" fontId="52" fillId="0" borderId="105" xfId="0" applyFont="1" applyFill="1" applyBorder="1" applyAlignment="1" applyProtection="1">
      <alignment horizontal="center"/>
      <protection locked="0"/>
    </xf>
    <xf numFmtId="4" fontId="52" fillId="0" borderId="105" xfId="23" applyNumberFormat="1" applyFont="1" applyFill="1" applyBorder="1" applyAlignment="1" applyProtection="1">
      <alignment horizontal="right"/>
      <protection locked="0"/>
    </xf>
    <xf numFmtId="4" fontId="52" fillId="0" borderId="91" xfId="23" applyNumberFormat="1" applyFont="1" applyFill="1" applyBorder="1" applyAlignment="1" applyProtection="1">
      <alignment horizontal="right"/>
      <protection locked="0"/>
    </xf>
    <xf numFmtId="3" fontId="52" fillId="0" borderId="91" xfId="23" applyNumberFormat="1" applyFont="1" applyFill="1" applyBorder="1" applyAlignment="1" applyProtection="1">
      <alignment horizontal="right"/>
      <protection locked="0"/>
    </xf>
    <xf numFmtId="49" fontId="52" fillId="0" borderId="61" xfId="23" applyNumberFormat="1" applyFont="1" applyFill="1" applyBorder="1" applyAlignment="1" applyProtection="1">
      <alignment horizontal="center"/>
      <protection locked="0"/>
    </xf>
    <xf numFmtId="49" fontId="52" fillId="0" borderId="63" xfId="23" applyNumberFormat="1" applyFont="1" applyFill="1" applyBorder="1" applyAlignment="1" applyProtection="1">
      <alignment horizontal="left" vertical="top" wrapText="1"/>
      <protection locked="0"/>
    </xf>
    <xf numFmtId="49" fontId="64" fillId="0" borderId="63" xfId="23" applyNumberFormat="1" applyFont="1" applyFill="1" applyBorder="1" applyAlignment="1" applyProtection="1">
      <alignment horizontal="center" vertical="top" wrapText="1"/>
      <protection locked="0"/>
    </xf>
    <xf numFmtId="49" fontId="64" fillId="0" borderId="60" xfId="23" applyNumberFormat="1" applyFont="1" applyFill="1" applyBorder="1" applyAlignment="1" applyProtection="1">
      <alignment horizontal="center"/>
      <protection locked="0"/>
    </xf>
    <xf numFmtId="49" fontId="52" fillId="0" borderId="67" xfId="23" applyNumberFormat="1" applyFont="1" applyFill="1" applyBorder="1" applyAlignment="1" applyProtection="1">
      <alignment horizontal="left"/>
      <protection locked="0"/>
    </xf>
    <xf numFmtId="49" fontId="64" fillId="0" borderId="67" xfId="23" applyNumberFormat="1" applyFont="1" applyFill="1" applyBorder="1" applyAlignment="1" applyProtection="1">
      <alignment horizontal="center"/>
      <protection locked="0"/>
    </xf>
    <xf numFmtId="49" fontId="52" fillId="0" borderId="91" xfId="23" applyNumberFormat="1" applyFont="1" applyFill="1" applyBorder="1" applyAlignment="1" applyProtection="1">
      <alignment horizontal="left"/>
      <protection locked="0"/>
    </xf>
    <xf numFmtId="4" fontId="52" fillId="0" borderId="5" xfId="23" applyNumberFormat="1" applyFont="1" applyFill="1" applyBorder="1" applyAlignment="1" applyProtection="1">
      <alignment horizontal="right"/>
      <protection locked="0"/>
    </xf>
    <xf numFmtId="0" fontId="64" fillId="0" borderId="60" xfId="23" applyNumberFormat="1" applyFont="1" applyFill="1" applyBorder="1" applyAlignment="1" applyProtection="1">
      <alignment horizontal="left" vertical="top"/>
      <protection locked="0"/>
    </xf>
    <xf numFmtId="4" fontId="52" fillId="0" borderId="1" xfId="23" applyNumberFormat="1" applyFont="1" applyFill="1" applyBorder="1" applyAlignment="1" applyProtection="1">
      <alignment horizontal="right"/>
      <protection locked="0"/>
    </xf>
    <xf numFmtId="4" fontId="52" fillId="0" borderId="76" xfId="23" applyNumberFormat="1" applyFont="1" applyFill="1" applyBorder="1" applyAlignment="1" applyProtection="1">
      <alignment horizontal="right"/>
      <protection locked="0"/>
    </xf>
    <xf numFmtId="4" fontId="52" fillId="0" borderId="106" xfId="23" applyNumberFormat="1" applyFont="1" applyFill="1" applyBorder="1" applyAlignment="1" applyProtection="1">
      <alignment horizontal="right"/>
      <protection locked="0"/>
    </xf>
    <xf numFmtId="0" fontId="64" fillId="0" borderId="50" xfId="0" applyFont="1" applyFill="1" applyBorder="1" applyAlignment="1" applyProtection="1">
      <alignment/>
      <protection locked="0"/>
    </xf>
    <xf numFmtId="0" fontId="64" fillId="0" borderId="63" xfId="23" applyFont="1" applyFill="1" applyBorder="1" applyProtection="1">
      <alignment/>
      <protection locked="0"/>
    </xf>
    <xf numFmtId="0" fontId="52" fillId="0" borderId="105" xfId="0" applyFont="1" applyBorder="1" applyAlignment="1" applyProtection="1">
      <alignment horizontal="center"/>
      <protection locked="0"/>
    </xf>
    <xf numFmtId="0" fontId="64" fillId="0" borderId="103" xfId="0" applyFont="1" applyFill="1" applyBorder="1" applyAlignment="1" applyProtection="1">
      <alignment horizontal="center"/>
      <protection locked="0"/>
    </xf>
    <xf numFmtId="0" fontId="64" fillId="0" borderId="60" xfId="0" applyFont="1" applyBorder="1" applyAlignment="1" applyProtection="1">
      <alignment/>
      <protection locked="0"/>
    </xf>
    <xf numFmtId="4" fontId="105" fillId="0" borderId="2" xfId="23" applyNumberFormat="1" applyFont="1" applyFill="1" applyBorder="1" applyAlignment="1" applyProtection="1">
      <alignment horizontal="right"/>
      <protection locked="0"/>
    </xf>
    <xf numFmtId="0" fontId="64" fillId="0" borderId="75" xfId="0" applyFont="1" applyBorder="1" applyAlignment="1" applyProtection="1">
      <alignment/>
      <protection locked="0"/>
    </xf>
    <xf numFmtId="4" fontId="105" fillId="0" borderId="69" xfId="23" applyNumberFormat="1" applyFont="1" applyFill="1" applyBorder="1" applyAlignment="1" applyProtection="1">
      <alignment horizontal="right"/>
      <protection locked="0"/>
    </xf>
    <xf numFmtId="0" fontId="64" fillId="0" borderId="50" xfId="0" applyFont="1" applyBorder="1" applyAlignment="1" applyProtection="1">
      <alignment/>
      <protection locked="0"/>
    </xf>
    <xf numFmtId="0" fontId="52" fillId="0" borderId="106" xfId="0" applyFont="1" applyFill="1" applyBorder="1" applyAlignment="1" applyProtection="1">
      <alignment horizontal="center"/>
      <protection locked="0"/>
    </xf>
    <xf numFmtId="0" fontId="64" fillId="0" borderId="108" xfId="0" applyFont="1" applyBorder="1" applyAlignment="1" applyProtection="1">
      <alignment/>
      <protection locked="0"/>
    </xf>
    <xf numFmtId="0" fontId="64" fillId="0" borderId="67" xfId="0" applyFont="1" applyBorder="1" applyAlignment="1" applyProtection="1">
      <alignment/>
      <protection locked="0"/>
    </xf>
    <xf numFmtId="0" fontId="64" fillId="0" borderId="103" xfId="0" applyFont="1" applyBorder="1" applyAlignment="1" applyProtection="1">
      <alignment/>
      <protection locked="0"/>
    </xf>
    <xf numFmtId="0" fontId="52" fillId="0" borderId="106" xfId="0" applyFont="1" applyBorder="1" applyAlignment="1" applyProtection="1">
      <alignment horizontal="center"/>
      <protection locked="0"/>
    </xf>
    <xf numFmtId="0" fontId="52" fillId="0" borderId="46" xfId="23" applyFont="1" applyBorder="1" applyProtection="1">
      <alignment/>
      <protection locked="0"/>
    </xf>
    <xf numFmtId="0" fontId="64" fillId="0" borderId="47" xfId="0" applyFont="1" applyFill="1" applyBorder="1" applyAlignment="1" applyProtection="1">
      <alignment/>
      <protection locked="0"/>
    </xf>
    <xf numFmtId="0" fontId="64" fillId="0" borderId="107" xfId="0" applyFont="1" applyFill="1" applyBorder="1" applyAlignment="1" applyProtection="1">
      <alignment horizontal="center"/>
      <protection locked="0"/>
    </xf>
    <xf numFmtId="4" fontId="64" fillId="0" borderId="3" xfId="23" applyNumberFormat="1" applyFont="1" applyFill="1" applyBorder="1" applyAlignment="1" applyProtection="1">
      <alignment horizontal="right"/>
      <protection locked="0"/>
    </xf>
    <xf numFmtId="4" fontId="64" fillId="0" borderId="2" xfId="23" applyNumberFormat="1" applyFont="1" applyFill="1" applyBorder="1" applyAlignment="1" applyProtection="1">
      <alignment horizontal="right"/>
      <protection locked="0"/>
    </xf>
    <xf numFmtId="4" fontId="64" fillId="0" borderId="46" xfId="23" applyNumberFormat="1" applyFont="1" applyFill="1" applyBorder="1" applyAlignment="1" applyProtection="1">
      <alignment horizontal="right"/>
      <protection locked="0"/>
    </xf>
    <xf numFmtId="49" fontId="52" fillId="0" borderId="69" xfId="23" applyNumberFormat="1" applyFont="1" applyFill="1" applyBorder="1" applyAlignment="1" applyProtection="1">
      <alignment horizontal="center"/>
      <protection locked="0"/>
    </xf>
    <xf numFmtId="0" fontId="52" fillId="0" borderId="75" xfId="0" applyFont="1" applyFill="1" applyBorder="1" applyAlignment="1" applyProtection="1">
      <alignment/>
      <protection locked="0"/>
    </xf>
    <xf numFmtId="4" fontId="64" fillId="0" borderId="108" xfId="23" applyNumberFormat="1" applyFont="1" applyFill="1" applyBorder="1" applyAlignment="1" applyProtection="1">
      <alignment horizontal="right"/>
      <protection locked="0"/>
    </xf>
    <xf numFmtId="4" fontId="64" fillId="0" borderId="61" xfId="23" applyNumberFormat="1" applyFont="1" applyFill="1" applyBorder="1" applyAlignment="1" applyProtection="1">
      <alignment horizontal="right"/>
      <protection locked="0"/>
    </xf>
    <xf numFmtId="3" fontId="52" fillId="0" borderId="108" xfId="23" applyNumberFormat="1" applyFont="1" applyFill="1" applyBorder="1" applyAlignment="1" applyProtection="1">
      <alignment horizontal="right"/>
      <protection locked="0"/>
    </xf>
    <xf numFmtId="4" fontId="64" fillId="0" borderId="69" xfId="23" applyNumberFormat="1" applyFont="1" applyFill="1" applyBorder="1" applyAlignment="1" applyProtection="1">
      <alignment horizontal="right"/>
      <protection locked="0"/>
    </xf>
    <xf numFmtId="4" fontId="64" fillId="0" borderId="67" xfId="23" applyNumberFormat="1" applyFont="1" applyFill="1" applyBorder="1" applyAlignment="1" applyProtection="1">
      <alignment horizontal="right"/>
      <protection locked="0"/>
    </xf>
    <xf numFmtId="4" fontId="64" fillId="0" borderId="75" xfId="23" applyNumberFormat="1" applyFont="1" applyFill="1" applyBorder="1" applyAlignment="1" applyProtection="1">
      <alignment horizontal="right"/>
      <protection locked="0"/>
    </xf>
    <xf numFmtId="0" fontId="52" fillId="0" borderId="103" xfId="0" applyFont="1" applyFill="1" applyBorder="1" applyAlignment="1" applyProtection="1">
      <alignment/>
      <protection locked="0"/>
    </xf>
    <xf numFmtId="4" fontId="64" fillId="0" borderId="103" xfId="23" applyNumberFormat="1" applyFont="1" applyFill="1" applyBorder="1" applyAlignment="1" applyProtection="1">
      <alignment horizontal="right"/>
      <protection locked="0"/>
    </xf>
    <xf numFmtId="4" fontId="64" fillId="0" borderId="106" xfId="23" applyNumberFormat="1" applyFont="1" applyFill="1" applyBorder="1" applyAlignment="1" applyProtection="1">
      <alignment horizontal="right"/>
      <protection locked="0"/>
    </xf>
    <xf numFmtId="3" fontId="52" fillId="0" borderId="46" xfId="23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06" fillId="0" borderId="0" xfId="27" applyFont="1" applyBorder="1" applyAlignment="1" applyProtection="1">
      <alignment horizontal="left"/>
      <protection locked="0"/>
    </xf>
    <xf numFmtId="0" fontId="106" fillId="0" borderId="0" xfId="0" applyFont="1" applyBorder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04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7" fillId="0" borderId="0" xfId="23" applyFont="1" applyProtection="1">
      <alignment/>
      <protection locked="0"/>
    </xf>
    <xf numFmtId="0" fontId="102" fillId="0" borderId="0" xfId="0" applyFont="1" applyAlignment="1" applyProtection="1">
      <alignment/>
      <protection locked="0"/>
    </xf>
    <xf numFmtId="0" fontId="107" fillId="0" borderId="5" xfId="0" applyFont="1" applyBorder="1" applyAlignment="1" applyProtection="1">
      <alignment/>
      <protection locked="0"/>
    </xf>
    <xf numFmtId="0" fontId="107" fillId="0" borderId="0" xfId="0" applyFont="1" applyBorder="1" applyAlignment="1" applyProtection="1">
      <alignment/>
      <protection locked="0"/>
    </xf>
    <xf numFmtId="49" fontId="64" fillId="0" borderId="60" xfId="22" applyNumberFormat="1" applyFont="1" applyFill="1" applyBorder="1" applyAlignment="1" applyProtection="1">
      <alignment horizontal="left" wrapText="1"/>
      <protection locked="0"/>
    </xf>
    <xf numFmtId="49" fontId="64" fillId="0" borderId="60" xfId="23" applyNumberFormat="1" applyFont="1" applyFill="1" applyBorder="1" applyProtection="1">
      <alignment/>
      <protection locked="0"/>
    </xf>
    <xf numFmtId="3" fontId="0" fillId="0" borderId="61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60" fillId="0" borderId="102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108" xfId="0" applyNumberFormat="1" applyBorder="1" applyAlignment="1">
      <alignment/>
    </xf>
    <xf numFmtId="3" fontId="60" fillId="0" borderId="103" xfId="0" applyNumberFormat="1" applyFont="1" applyBorder="1" applyAlignment="1">
      <alignment/>
    </xf>
    <xf numFmtId="0" fontId="0" fillId="0" borderId="108" xfId="0" applyBorder="1" applyAlignment="1">
      <alignment/>
    </xf>
    <xf numFmtId="0" fontId="0" fillId="0" borderId="96" xfId="0" applyBorder="1" applyAlignment="1">
      <alignment/>
    </xf>
    <xf numFmtId="3" fontId="60" fillId="0" borderId="105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169" fontId="0" fillId="0" borderId="108" xfId="0" applyNumberFormat="1" applyBorder="1" applyAlignment="1">
      <alignment/>
    </xf>
    <xf numFmtId="169" fontId="0" fillId="0" borderId="75" xfId="0" applyNumberFormat="1" applyBorder="1" applyAlignment="1">
      <alignment/>
    </xf>
    <xf numFmtId="164" fontId="0" fillId="0" borderId="75" xfId="0" applyNumberFormat="1" applyBorder="1" applyAlignment="1">
      <alignment/>
    </xf>
    <xf numFmtId="164" fontId="60" fillId="0" borderId="103" xfId="0" applyNumberFormat="1" applyFont="1" applyBorder="1" applyAlignment="1">
      <alignment/>
    </xf>
    <xf numFmtId="3" fontId="0" fillId="0" borderId="96" xfId="0" applyNumberFormat="1" applyBorder="1" applyAlignment="1">
      <alignment/>
    </xf>
    <xf numFmtId="4" fontId="60" fillId="0" borderId="104" xfId="0" applyNumberFormat="1" applyFont="1" applyBorder="1" applyAlignment="1">
      <alignment/>
    </xf>
    <xf numFmtId="4" fontId="0" fillId="0" borderId="100" xfId="0" applyNumberFormat="1" applyFont="1" applyBorder="1" applyAlignment="1">
      <alignment/>
    </xf>
    <xf numFmtId="4" fontId="0" fillId="0" borderId="96" xfId="0" applyNumberFormat="1" applyBorder="1" applyAlignment="1">
      <alignment/>
    </xf>
    <xf numFmtId="4" fontId="0" fillId="0" borderId="71" xfId="0" applyNumberFormat="1" applyBorder="1" applyAlignment="1">
      <alignment/>
    </xf>
    <xf numFmtId="4" fontId="60" fillId="0" borderId="105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60" fillId="0" borderId="91" xfId="0" applyNumberFormat="1" applyFont="1" applyBorder="1" applyAlignment="1">
      <alignment/>
    </xf>
    <xf numFmtId="0" fontId="70" fillId="0" borderId="46" xfId="0" applyFont="1" applyBorder="1" applyAlignment="1">
      <alignment horizontal="left"/>
    </xf>
    <xf numFmtId="0" fontId="69" fillId="0" borderId="75" xfId="0" applyFont="1" applyBorder="1" applyAlignment="1">
      <alignment/>
    </xf>
    <xf numFmtId="0" fontId="69" fillId="0" borderId="99" xfId="0" applyFont="1" applyBorder="1" applyAlignment="1">
      <alignment/>
    </xf>
    <xf numFmtId="0" fontId="70" fillId="0" borderId="103" xfId="0" applyFont="1" applyBorder="1" applyAlignment="1">
      <alignment/>
    </xf>
    <xf numFmtId="0" fontId="70" fillId="0" borderId="99" xfId="0" applyFont="1" applyBorder="1" applyAlignment="1">
      <alignment/>
    </xf>
    <xf numFmtId="0" fontId="70" fillId="0" borderId="75" xfId="0" applyFont="1" applyBorder="1" applyAlignment="1">
      <alignment/>
    </xf>
    <xf numFmtId="0" fontId="97" fillId="0" borderId="0" xfId="0" applyFont="1" applyBorder="1" applyAlignment="1">
      <alignment horizontal="right"/>
    </xf>
    <xf numFmtId="0" fontId="108" fillId="0" borderId="0" xfId="0" applyFont="1" applyAlignment="1">
      <alignment/>
    </xf>
    <xf numFmtId="0" fontId="60" fillId="0" borderId="47" xfId="0" applyFont="1" applyBorder="1" applyAlignment="1">
      <alignment horizontal="centerContinuous"/>
    </xf>
    <xf numFmtId="0" fontId="60" fillId="0" borderId="48" xfId="0" applyFont="1" applyBorder="1" applyAlignment="1">
      <alignment horizontal="centerContinuous"/>
    </xf>
    <xf numFmtId="0" fontId="60" fillId="0" borderId="49" xfId="0" applyFont="1" applyBorder="1" applyAlignment="1">
      <alignment horizontal="centerContinuous"/>
    </xf>
    <xf numFmtId="0" fontId="7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101" fillId="0" borderId="104" xfId="0" applyFont="1" applyBorder="1" applyAlignment="1">
      <alignment horizontal="center" wrapText="1"/>
    </xf>
    <xf numFmtId="3" fontId="97" fillId="0" borderId="0" xfId="0" applyNumberFormat="1" applyFont="1" applyAlignment="1">
      <alignment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horizontal="center"/>
    </xf>
    <xf numFmtId="0" fontId="69" fillId="0" borderId="129" xfId="0" applyFont="1" applyBorder="1" applyAlignment="1">
      <alignment/>
    </xf>
    <xf numFmtId="0" fontId="70" fillId="0" borderId="183" xfId="0" applyFont="1" applyBorder="1" applyAlignment="1">
      <alignment horizontal="centerContinuous"/>
    </xf>
    <xf numFmtId="0" fontId="70" fillId="0" borderId="184" xfId="0" applyFont="1" applyBorder="1" applyAlignment="1">
      <alignment horizontal="centerContinuous"/>
    </xf>
    <xf numFmtId="0" fontId="70" fillId="0" borderId="185" xfId="0" applyFont="1" applyBorder="1" applyAlignment="1">
      <alignment horizontal="centerContinuous"/>
    </xf>
    <xf numFmtId="0" fontId="70" fillId="0" borderId="186" xfId="0" applyFont="1" applyBorder="1" applyAlignment="1">
      <alignment horizontal="centerContinuous"/>
    </xf>
    <xf numFmtId="0" fontId="70" fillId="0" borderId="128" xfId="0" applyFont="1" applyBorder="1" applyAlignment="1">
      <alignment horizontal="centerContinuous"/>
    </xf>
    <xf numFmtId="0" fontId="70" fillId="0" borderId="129" xfId="0" applyFont="1" applyBorder="1" applyAlignment="1">
      <alignment horizontal="centerContinuous"/>
    </xf>
    <xf numFmtId="0" fontId="70" fillId="0" borderId="134" xfId="21" applyFont="1" applyFill="1" applyBorder="1" applyAlignment="1" applyProtection="1">
      <alignment horizontal="center" vertical="center"/>
      <protection/>
    </xf>
    <xf numFmtId="0" fontId="70" fillId="0" borderId="187" xfId="0" applyFont="1" applyBorder="1" applyAlignment="1">
      <alignment horizontal="center"/>
    </xf>
    <xf numFmtId="0" fontId="70" fillId="0" borderId="129" xfId="0" applyFont="1" applyBorder="1" applyAlignment="1">
      <alignment horizontal="center"/>
    </xf>
    <xf numFmtId="0" fontId="70" fillId="0" borderId="134" xfId="0" applyFont="1" applyBorder="1" applyAlignment="1">
      <alignment horizontal="center"/>
    </xf>
    <xf numFmtId="0" fontId="70" fillId="0" borderId="188" xfId="0" applyFont="1" applyBorder="1" applyAlignment="1">
      <alignment horizontal="center"/>
    </xf>
    <xf numFmtId="0" fontId="70" fillId="0" borderId="183" xfId="0" applyFont="1" applyBorder="1" applyAlignment="1">
      <alignment horizontal="center"/>
    </xf>
    <xf numFmtId="165" fontId="111" fillId="0" borderId="189" xfId="0" applyNumberFormat="1" applyFont="1" applyBorder="1" applyAlignment="1">
      <alignment/>
    </xf>
    <xf numFmtId="3" fontId="111" fillId="0" borderId="190" xfId="0" applyNumberFormat="1" applyFont="1" applyBorder="1" applyAlignment="1">
      <alignment/>
    </xf>
    <xf numFmtId="3" fontId="111" fillId="0" borderId="191" xfId="0" applyNumberFormat="1" applyFont="1" applyBorder="1" applyAlignment="1">
      <alignment/>
    </xf>
    <xf numFmtId="4" fontId="111" fillId="0" borderId="192" xfId="0" applyNumberFormat="1" applyFont="1" applyBorder="1" applyAlignment="1">
      <alignment/>
    </xf>
    <xf numFmtId="4" fontId="111" fillId="0" borderId="193" xfId="0" applyNumberFormat="1" applyFont="1" applyBorder="1" applyAlignment="1">
      <alignment/>
    </xf>
    <xf numFmtId="10" fontId="111" fillId="0" borderId="189" xfId="0" applyNumberFormat="1" applyFont="1" applyBorder="1" applyAlignment="1">
      <alignment/>
    </xf>
    <xf numFmtId="165" fontId="111" fillId="0" borderId="194" xfId="0" applyNumberFormat="1" applyFont="1" applyBorder="1" applyAlignment="1">
      <alignment/>
    </xf>
    <xf numFmtId="3" fontId="111" fillId="0" borderId="195" xfId="0" applyNumberFormat="1" applyFont="1" applyBorder="1" applyAlignment="1">
      <alignment/>
    </xf>
    <xf numFmtId="3" fontId="111" fillId="0" borderId="196" xfId="0" applyNumberFormat="1" applyFont="1" applyBorder="1" applyAlignment="1">
      <alignment/>
    </xf>
    <xf numFmtId="4" fontId="111" fillId="0" borderId="197" xfId="0" applyNumberFormat="1" applyFont="1" applyBorder="1" applyAlignment="1">
      <alignment/>
    </xf>
    <xf numFmtId="4" fontId="111" fillId="0" borderId="198" xfId="0" applyNumberFormat="1" applyFont="1" applyBorder="1" applyAlignment="1">
      <alignment/>
    </xf>
    <xf numFmtId="10" fontId="111" fillId="0" borderId="194" xfId="0" applyNumberFormat="1" applyFont="1" applyBorder="1" applyAlignment="1">
      <alignment/>
    </xf>
    <xf numFmtId="3" fontId="111" fillId="0" borderId="199" xfId="0" applyNumberFormat="1" applyFont="1" applyBorder="1" applyAlignment="1">
      <alignment/>
    </xf>
    <xf numFmtId="3" fontId="111" fillId="0" borderId="200" xfId="0" applyNumberFormat="1" applyFont="1" applyBorder="1" applyAlignment="1">
      <alignment/>
    </xf>
    <xf numFmtId="4" fontId="111" fillId="0" borderId="136" xfId="0" applyNumberFormat="1" applyFont="1" applyBorder="1" applyAlignment="1">
      <alignment/>
    </xf>
    <xf numFmtId="4" fontId="111" fillId="0" borderId="201" xfId="0" applyNumberFormat="1" applyFont="1" applyBorder="1" applyAlignment="1">
      <alignment/>
    </xf>
    <xf numFmtId="10" fontId="111" fillId="0" borderId="134" xfId="0" applyNumberFormat="1" applyFont="1" applyBorder="1" applyAlignment="1">
      <alignment/>
    </xf>
    <xf numFmtId="0" fontId="112" fillId="0" borderId="187" xfId="0" applyFont="1" applyFill="1" applyBorder="1" applyAlignment="1">
      <alignment horizontal="center"/>
    </xf>
    <xf numFmtId="3" fontId="111" fillId="0" borderId="202" xfId="0" applyNumberFormat="1" applyFont="1" applyBorder="1" applyAlignment="1">
      <alignment/>
    </xf>
    <xf numFmtId="3" fontId="111" fillId="0" borderId="203" xfId="0" applyNumberFormat="1" applyFont="1" applyBorder="1" applyAlignment="1">
      <alignment/>
    </xf>
    <xf numFmtId="4" fontId="111" fillId="0" borderId="204" xfId="0" applyNumberFormat="1" applyFont="1" applyBorder="1" applyAlignment="1">
      <alignment/>
    </xf>
    <xf numFmtId="4" fontId="111" fillId="0" borderId="205" xfId="0" applyNumberFormat="1" applyFont="1" applyBorder="1" applyAlignment="1">
      <alignment/>
    </xf>
    <xf numFmtId="10" fontId="111" fillId="0" borderId="187" xfId="0" applyNumberFormat="1" applyFont="1" applyBorder="1" applyAlignment="1">
      <alignment/>
    </xf>
    <xf numFmtId="165" fontId="111" fillId="0" borderId="206" xfId="0" applyNumberFormat="1" applyFont="1" applyBorder="1" applyAlignment="1">
      <alignment/>
    </xf>
    <xf numFmtId="3" fontId="111" fillId="0" borderId="207" xfId="0" applyNumberFormat="1" applyFont="1" applyBorder="1" applyAlignment="1">
      <alignment/>
    </xf>
    <xf numFmtId="3" fontId="111" fillId="0" borderId="208" xfId="0" applyNumberFormat="1" applyFont="1" applyBorder="1" applyAlignment="1">
      <alignment/>
    </xf>
    <xf numFmtId="4" fontId="111" fillId="0" borderId="209" xfId="0" applyNumberFormat="1" applyFont="1" applyBorder="1" applyAlignment="1">
      <alignment/>
    </xf>
    <xf numFmtId="4" fontId="111" fillId="0" borderId="210" xfId="0" applyNumberFormat="1" applyFont="1" applyBorder="1" applyAlignment="1">
      <alignment/>
    </xf>
    <xf numFmtId="10" fontId="111" fillId="0" borderId="188" xfId="0" applyNumberFormat="1" applyFont="1" applyBorder="1" applyAlignment="1">
      <alignment/>
    </xf>
    <xf numFmtId="165" fontId="111" fillId="0" borderId="189" xfId="0" applyNumberFormat="1" applyFont="1" applyBorder="1" applyAlignment="1">
      <alignment horizontal="left"/>
    </xf>
    <xf numFmtId="165" fontId="111" fillId="0" borderId="194" xfId="0" applyNumberFormat="1" applyFont="1" applyBorder="1" applyAlignment="1">
      <alignment horizontal="left"/>
    </xf>
    <xf numFmtId="165" fontId="111" fillId="0" borderId="206" xfId="0" applyNumberFormat="1" applyFont="1" applyBorder="1" applyAlignment="1">
      <alignment horizontal="left"/>
    </xf>
    <xf numFmtId="165" fontId="111" fillId="0" borderId="187" xfId="0" applyNumberFormat="1" applyFont="1" applyBorder="1" applyAlignment="1">
      <alignment/>
    </xf>
    <xf numFmtId="4" fontId="111" fillId="0" borderId="185" xfId="0" applyNumberFormat="1" applyFont="1" applyBorder="1" applyAlignment="1">
      <alignment/>
    </xf>
    <xf numFmtId="4" fontId="111" fillId="0" borderId="211" xfId="0" applyNumberFormat="1" applyFont="1" applyBorder="1" applyAlignment="1">
      <alignment/>
    </xf>
    <xf numFmtId="0" fontId="111" fillId="0" borderId="187" xfId="0" applyFont="1" applyBorder="1" applyAlignment="1">
      <alignment horizontal="center"/>
    </xf>
    <xf numFmtId="0" fontId="103" fillId="0" borderId="0" xfId="0" applyFont="1" applyAlignment="1">
      <alignment horizontal="left"/>
    </xf>
    <xf numFmtId="0" fontId="97" fillId="0" borderId="0" xfId="31" applyFont="1" applyFill="1">
      <alignment/>
      <protection/>
    </xf>
    <xf numFmtId="3" fontId="98" fillId="4" borderId="6" xfId="20" applyNumberFormat="1" applyFont="1" applyFill="1" applyBorder="1" applyAlignment="1">
      <alignment horizontal="center"/>
      <protection/>
    </xf>
    <xf numFmtId="4" fontId="52" fillId="0" borderId="108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70" fillId="0" borderId="1" xfId="0" applyFont="1" applyFill="1" applyBorder="1" applyAlignment="1">
      <alignment/>
    </xf>
    <xf numFmtId="4" fontId="69" fillId="0" borderId="132" xfId="0" applyNumberFormat="1" applyFont="1" applyFill="1" applyBorder="1" applyAlignment="1">
      <alignment/>
    </xf>
    <xf numFmtId="4" fontId="69" fillId="0" borderId="212" xfId="0" applyNumberFormat="1" applyFont="1" applyFill="1" applyBorder="1" applyAlignment="1">
      <alignment/>
    </xf>
    <xf numFmtId="4" fontId="69" fillId="0" borderId="152" xfId="0" applyNumberFormat="1" applyFont="1" applyFill="1" applyBorder="1" applyAlignment="1">
      <alignment/>
    </xf>
    <xf numFmtId="0" fontId="70" fillId="0" borderId="4" xfId="0" applyFont="1" applyFill="1" applyBorder="1" applyAlignment="1">
      <alignment horizontal="center"/>
    </xf>
    <xf numFmtId="1" fontId="70" fillId="0" borderId="138" xfId="0" applyNumberFormat="1" applyFont="1" applyFill="1" applyBorder="1" applyAlignment="1">
      <alignment horizontal="center"/>
    </xf>
    <xf numFmtId="1" fontId="70" fillId="0" borderId="139" xfId="0" applyNumberFormat="1" applyFont="1" applyFill="1" applyBorder="1" applyAlignment="1">
      <alignment horizontal="center"/>
    </xf>
    <xf numFmtId="1" fontId="70" fillId="0" borderId="137" xfId="0" applyNumberFormat="1" applyFont="1" applyFill="1" applyBorder="1" applyAlignment="1">
      <alignment horizontal="center"/>
    </xf>
    <xf numFmtId="4" fontId="70" fillId="0" borderId="137" xfId="0" applyNumberFormat="1" applyFont="1" applyFill="1" applyBorder="1" applyAlignment="1">
      <alignment horizontal="center"/>
    </xf>
    <xf numFmtId="0" fontId="70" fillId="0" borderId="47" xfId="0" applyFont="1" applyBorder="1" applyAlignment="1">
      <alignment/>
    </xf>
    <xf numFmtId="4" fontId="69" fillId="0" borderId="146" xfId="0" applyNumberFormat="1" applyFont="1" applyBorder="1" applyAlignment="1">
      <alignment/>
    </xf>
    <xf numFmtId="4" fontId="69" fillId="0" borderId="148" xfId="0" applyNumberFormat="1" applyFont="1" applyBorder="1" applyAlignment="1">
      <alignment/>
    </xf>
    <xf numFmtId="4" fontId="113" fillId="0" borderId="145" xfId="0" applyNumberFormat="1" applyFont="1" applyBorder="1" applyAlignment="1">
      <alignment/>
    </xf>
    <xf numFmtId="0" fontId="70" fillId="0" borderId="76" xfId="0" applyFont="1" applyBorder="1" applyAlignment="1">
      <alignment/>
    </xf>
    <xf numFmtId="4" fontId="69" fillId="0" borderId="135" xfId="0" applyNumberFormat="1" applyFont="1" applyBorder="1" applyAlignment="1">
      <alignment/>
    </xf>
    <xf numFmtId="4" fontId="69" fillId="0" borderId="134" xfId="0" applyNumberFormat="1" applyFont="1" applyBorder="1" applyAlignment="1">
      <alignment/>
    </xf>
    <xf numFmtId="4" fontId="69" fillId="0" borderId="130" xfId="0" applyNumberFormat="1" applyFont="1" applyBorder="1" applyAlignment="1">
      <alignment/>
    </xf>
    <xf numFmtId="4" fontId="69" fillId="0" borderId="145" xfId="0" applyNumberFormat="1" applyFont="1" applyBorder="1" applyAlignment="1">
      <alignment/>
    </xf>
    <xf numFmtId="0" fontId="70" fillId="0" borderId="4" xfId="0" applyFont="1" applyBorder="1" applyAlignment="1">
      <alignment/>
    </xf>
    <xf numFmtId="4" fontId="69" fillId="0" borderId="138" xfId="0" applyNumberFormat="1" applyFont="1" applyBorder="1" applyAlignment="1">
      <alignment/>
    </xf>
    <xf numFmtId="4" fontId="69" fillId="0" borderId="139" xfId="0" applyNumberFormat="1" applyFont="1" applyBorder="1" applyAlignment="1">
      <alignment/>
    </xf>
    <xf numFmtId="4" fontId="113" fillId="0" borderId="137" xfId="0" applyNumberFormat="1" applyFont="1" applyBorder="1" applyAlignment="1">
      <alignment/>
    </xf>
    <xf numFmtId="0" fontId="70" fillId="0" borderId="1" xfId="0" applyFont="1" applyBorder="1" applyAlignment="1">
      <alignment/>
    </xf>
    <xf numFmtId="4" fontId="69" fillId="0" borderId="132" xfId="0" applyNumberFormat="1" applyFont="1" applyBorder="1" applyAlignment="1">
      <alignment/>
    </xf>
    <xf numFmtId="4" fontId="69" fillId="0" borderId="212" xfId="0" applyNumberFormat="1" applyFont="1" applyBorder="1" applyAlignment="1">
      <alignment/>
    </xf>
    <xf numFmtId="4" fontId="70" fillId="0" borderId="152" xfId="0" applyNumberFormat="1" applyFont="1" applyBorder="1" applyAlignment="1">
      <alignment/>
    </xf>
    <xf numFmtId="0" fontId="70" fillId="0" borderId="46" xfId="0" applyFont="1" applyBorder="1" applyAlignment="1">
      <alignment/>
    </xf>
    <xf numFmtId="0" fontId="70" fillId="0" borderId="55" xfId="0" applyFont="1" applyBorder="1" applyAlignment="1">
      <alignment/>
    </xf>
    <xf numFmtId="4" fontId="70" fillId="0" borderId="145" xfId="0" applyNumberFormat="1" applyFont="1" applyBorder="1" applyAlignment="1">
      <alignment/>
    </xf>
    <xf numFmtId="4" fontId="69" fillId="0" borderId="139" xfId="0" applyNumberFormat="1" applyFont="1" applyBorder="1" applyAlignment="1">
      <alignment/>
    </xf>
    <xf numFmtId="0" fontId="70" fillId="0" borderId="4" xfId="0" applyFont="1" applyFill="1" applyBorder="1" applyAlignment="1">
      <alignment/>
    </xf>
    <xf numFmtId="4" fontId="69" fillId="0" borderId="0" xfId="0" applyNumberFormat="1" applyFont="1" applyAlignment="1">
      <alignment/>
    </xf>
    <xf numFmtId="0" fontId="70" fillId="0" borderId="146" xfId="0" applyFont="1" applyBorder="1" applyAlignment="1">
      <alignment/>
    </xf>
    <xf numFmtId="4" fontId="70" fillId="0" borderId="148" xfId="0" applyNumberFormat="1" applyFont="1" applyBorder="1" applyAlignment="1">
      <alignment/>
    </xf>
    <xf numFmtId="1" fontId="70" fillId="10" borderId="148" xfId="0" applyNumberFormat="1" applyFont="1" applyFill="1" applyBorder="1" applyAlignment="1">
      <alignment horizontal="center"/>
    </xf>
    <xf numFmtId="1" fontId="70" fillId="10" borderId="145" xfId="0" applyNumberFormat="1" applyFont="1" applyFill="1" applyBorder="1" applyAlignment="1">
      <alignment horizontal="center"/>
    </xf>
    <xf numFmtId="4" fontId="69" fillId="0" borderId="132" xfId="0" applyNumberFormat="1" applyFont="1" applyBorder="1" applyAlignment="1">
      <alignment/>
    </xf>
    <xf numFmtId="4" fontId="69" fillId="0" borderId="212" xfId="0" applyNumberFormat="1" applyFont="1" applyBorder="1" applyAlignment="1">
      <alignment/>
    </xf>
    <xf numFmtId="4" fontId="69" fillId="0" borderId="152" xfId="0" applyNumberFormat="1" applyFont="1" applyBorder="1" applyAlignment="1">
      <alignment/>
    </xf>
    <xf numFmtId="4" fontId="114" fillId="0" borderId="0" xfId="0" applyNumberFormat="1" applyFont="1" applyAlignment="1">
      <alignment/>
    </xf>
    <xf numFmtId="4" fontId="69" fillId="0" borderId="138" xfId="0" applyNumberFormat="1" applyFont="1" applyBorder="1" applyAlignment="1">
      <alignment/>
    </xf>
    <xf numFmtId="4" fontId="69" fillId="0" borderId="137" xfId="0" applyNumberFormat="1" applyFont="1" applyBorder="1" applyAlignment="1">
      <alignment/>
    </xf>
    <xf numFmtId="0" fontId="113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76" fillId="0" borderId="29" xfId="0" applyFont="1" applyBorder="1" applyAlignment="1">
      <alignment horizontal="center" wrapText="1"/>
    </xf>
    <xf numFmtId="0" fontId="76" fillId="0" borderId="3" xfId="0" applyFont="1" applyBorder="1" applyAlignment="1">
      <alignment horizontal="center" wrapText="1"/>
    </xf>
    <xf numFmtId="0" fontId="76" fillId="0" borderId="94" xfId="0" applyFont="1" applyBorder="1" applyAlignment="1">
      <alignment/>
    </xf>
    <xf numFmtId="0" fontId="77" fillId="0" borderId="94" xfId="0" applyFont="1" applyBorder="1" applyAlignment="1">
      <alignment/>
    </xf>
    <xf numFmtId="0" fontId="77" fillId="0" borderId="94" xfId="0" applyFont="1" applyBorder="1" applyAlignment="1">
      <alignment/>
    </xf>
    <xf numFmtId="0" fontId="77" fillId="0" borderId="63" xfId="0" applyFont="1" applyBorder="1" applyAlignment="1">
      <alignment/>
    </xf>
    <xf numFmtId="0" fontId="76" fillId="0" borderId="97" xfId="0" applyFont="1" applyBorder="1" applyAlignment="1">
      <alignment/>
    </xf>
    <xf numFmtId="3" fontId="76" fillId="0" borderId="20" xfId="0" applyNumberFormat="1" applyFont="1" applyBorder="1" applyAlignment="1">
      <alignment/>
    </xf>
    <xf numFmtId="3" fontId="76" fillId="0" borderId="109" xfId="0" applyNumberFormat="1" applyFont="1" applyBorder="1" applyAlignment="1">
      <alignment/>
    </xf>
    <xf numFmtId="0" fontId="77" fillId="0" borderId="97" xfId="0" applyFont="1" applyBorder="1" applyAlignment="1">
      <alignment/>
    </xf>
    <xf numFmtId="3" fontId="77" fillId="0" borderId="20" xfId="0" applyNumberFormat="1" applyFont="1" applyBorder="1" applyAlignment="1">
      <alignment/>
    </xf>
    <xf numFmtId="3" fontId="77" fillId="0" borderId="109" xfId="0" applyNumberFormat="1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20" xfId="0" applyFont="1" applyBorder="1" applyAlignment="1">
      <alignment/>
    </xf>
    <xf numFmtId="3" fontId="77" fillId="0" borderId="20" xfId="0" applyNumberFormat="1" applyFont="1" applyBorder="1" applyAlignment="1">
      <alignment/>
    </xf>
    <xf numFmtId="2" fontId="77" fillId="0" borderId="20" xfId="0" applyNumberFormat="1" applyFont="1" applyBorder="1" applyAlignment="1">
      <alignment/>
    </xf>
    <xf numFmtId="2" fontId="77" fillId="0" borderId="109" xfId="0" applyNumberFormat="1" applyFont="1" applyBorder="1" applyAlignment="1">
      <alignment/>
    </xf>
    <xf numFmtId="2" fontId="77" fillId="0" borderId="109" xfId="0" applyNumberFormat="1" applyFont="1" applyBorder="1" applyAlignment="1">
      <alignment horizontal="right"/>
    </xf>
    <xf numFmtId="3" fontId="77" fillId="0" borderId="109" xfId="0" applyNumberFormat="1" applyFont="1" applyBorder="1" applyAlignment="1">
      <alignment/>
    </xf>
    <xf numFmtId="0" fontId="77" fillId="0" borderId="109" xfId="0" applyFont="1" applyBorder="1" applyAlignment="1">
      <alignment/>
    </xf>
    <xf numFmtId="0" fontId="77" fillId="0" borderId="58" xfId="0" applyFont="1" applyBorder="1" applyAlignment="1">
      <alignment/>
    </xf>
    <xf numFmtId="0" fontId="77" fillId="0" borderId="7" xfId="0" applyFont="1" applyBorder="1" applyAlignment="1">
      <alignment/>
    </xf>
    <xf numFmtId="2" fontId="77" fillId="0" borderId="7" xfId="0" applyNumberFormat="1" applyFont="1" applyBorder="1" applyAlignment="1">
      <alignment/>
    </xf>
    <xf numFmtId="2" fontId="77" fillId="0" borderId="6" xfId="0" applyNumberFormat="1" applyFont="1" applyBorder="1" applyAlignment="1">
      <alignment/>
    </xf>
    <xf numFmtId="0" fontId="77" fillId="0" borderId="0" xfId="0" applyFont="1" applyAlignment="1">
      <alignment/>
    </xf>
    <xf numFmtId="2" fontId="77" fillId="0" borderId="0" xfId="0" applyNumberFormat="1" applyFont="1" applyAlignment="1">
      <alignment/>
    </xf>
    <xf numFmtId="4" fontId="71" fillId="0" borderId="0" xfId="0" applyNumberFormat="1" applyFont="1" applyAlignment="1">
      <alignment horizontal="center"/>
    </xf>
    <xf numFmtId="0" fontId="76" fillId="0" borderId="49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60" fillId="0" borderId="0" xfId="0" applyNumberFormat="1" applyFont="1" applyAlignment="1">
      <alignment horizontal="right"/>
    </xf>
    <xf numFmtId="0" fontId="60" fillId="0" borderId="70" xfId="0" applyFont="1" applyBorder="1" applyAlignment="1">
      <alignment horizontal="left"/>
    </xf>
    <xf numFmtId="0" fontId="60" fillId="0" borderId="70" xfId="0" applyFont="1" applyBorder="1" applyAlignment="1">
      <alignment/>
    </xf>
    <xf numFmtId="4" fontId="60" fillId="0" borderId="70" xfId="0" applyNumberFormat="1" applyFont="1" applyBorder="1" applyAlignment="1">
      <alignment horizontal="left"/>
    </xf>
    <xf numFmtId="4" fontId="60" fillId="0" borderId="70" xfId="0" applyNumberFormat="1" applyFont="1" applyBorder="1" applyAlignment="1">
      <alignment/>
    </xf>
    <xf numFmtId="0" fontId="0" fillId="0" borderId="70" xfId="0" applyBorder="1" applyAlignment="1">
      <alignment horizontal="left"/>
    </xf>
    <xf numFmtId="0" fontId="0" fillId="0" borderId="70" xfId="0" applyFont="1" applyBorder="1" applyAlignment="1">
      <alignment/>
    </xf>
    <xf numFmtId="0" fontId="60" fillId="0" borderId="72" xfId="0" applyFont="1" applyBorder="1" applyAlignment="1">
      <alignment horizontal="left"/>
    </xf>
    <xf numFmtId="0" fontId="60" fillId="0" borderId="71" xfId="0" applyFont="1" applyBorder="1" applyAlignment="1">
      <alignment/>
    </xf>
    <xf numFmtId="0" fontId="60" fillId="0" borderId="66" xfId="0" applyFont="1" applyBorder="1" applyAlignment="1">
      <alignment/>
    </xf>
    <xf numFmtId="0" fontId="0" fillId="0" borderId="70" xfId="0" applyFont="1" applyBorder="1" applyAlignment="1">
      <alignment horizontal="left"/>
    </xf>
    <xf numFmtId="4" fontId="0" fillId="0" borderId="70" xfId="0" applyNumberFormat="1" applyFont="1" applyBorder="1" applyAlignment="1">
      <alignment/>
    </xf>
    <xf numFmtId="0" fontId="0" fillId="0" borderId="78" xfId="0" applyFont="1" applyBorder="1" applyAlignment="1">
      <alignment horizontal="left"/>
    </xf>
    <xf numFmtId="0" fontId="0" fillId="0" borderId="78" xfId="0" applyFont="1" applyBorder="1" applyAlignment="1">
      <alignment/>
    </xf>
    <xf numFmtId="4" fontId="60" fillId="0" borderId="66" xfId="0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4" fontId="60" fillId="0" borderId="0" xfId="0" applyNumberFormat="1" applyFont="1" applyBorder="1" applyAlignment="1">
      <alignment/>
    </xf>
    <xf numFmtId="0" fontId="77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Fill="1" applyBorder="1" applyAlignment="1">
      <alignment horizontal="right"/>
    </xf>
    <xf numFmtId="0" fontId="76" fillId="0" borderId="47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0" borderId="4" xfId="0" applyFont="1" applyFill="1" applyBorder="1" applyAlignment="1">
      <alignment horizontal="center"/>
    </xf>
    <xf numFmtId="0" fontId="64" fillId="0" borderId="50" xfId="0" applyFont="1" applyFill="1" applyBorder="1" applyAlignment="1">
      <alignment horizontal="center"/>
    </xf>
    <xf numFmtId="0" fontId="63" fillId="0" borderId="0" xfId="24" applyFont="1" applyFill="1" applyBorder="1" applyAlignment="1">
      <alignment horizontal="center"/>
      <protection/>
    </xf>
    <xf numFmtId="0" fontId="64" fillId="0" borderId="46" xfId="24" applyFont="1" applyFill="1" applyBorder="1" applyAlignment="1">
      <alignment horizontal="center"/>
      <protection/>
    </xf>
    <xf numFmtId="0" fontId="64" fillId="0" borderId="55" xfId="24" applyFont="1" applyFill="1" applyBorder="1" applyAlignment="1">
      <alignment horizontal="center"/>
      <protection/>
    </xf>
    <xf numFmtId="0" fontId="25" fillId="0" borderId="49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46" xfId="0" applyFont="1" applyFill="1" applyBorder="1" applyAlignment="1">
      <alignment horizontal="center" vertical="top" wrapText="1"/>
    </xf>
    <xf numFmtId="0" fontId="25" fillId="0" borderId="55" xfId="0" applyFont="1" applyFill="1" applyBorder="1" applyAlignment="1">
      <alignment horizontal="center" vertical="top" wrapText="1"/>
    </xf>
    <xf numFmtId="0" fontId="25" fillId="0" borderId="47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7" fillId="0" borderId="0" xfId="0" applyFont="1" applyAlignment="1">
      <alignment horizontal="center"/>
    </xf>
    <xf numFmtId="0" fontId="60" fillId="0" borderId="171" xfId="0" applyFont="1" applyBorder="1" applyAlignment="1">
      <alignment horizontal="center"/>
    </xf>
    <xf numFmtId="0" fontId="60" fillId="0" borderId="157" xfId="0" applyFont="1" applyBorder="1" applyAlignment="1">
      <alignment horizontal="center"/>
    </xf>
    <xf numFmtId="0" fontId="60" fillId="0" borderId="213" xfId="0" applyFont="1" applyBorder="1" applyAlignment="1">
      <alignment horizontal="center"/>
    </xf>
    <xf numFmtId="0" fontId="71" fillId="0" borderId="0" xfId="0" applyFont="1" applyAlignment="1">
      <alignment horizontal="right"/>
    </xf>
    <xf numFmtId="0" fontId="64" fillId="0" borderId="46" xfId="0" applyFont="1" applyFill="1" applyBorder="1" applyAlignment="1">
      <alignment horizontal="center" vertical="top" wrapText="1"/>
    </xf>
    <xf numFmtId="0" fontId="64" fillId="0" borderId="55" xfId="0" applyFont="1" applyFill="1" applyBorder="1" applyAlignment="1">
      <alignment horizontal="center" vertical="top" wrapText="1"/>
    </xf>
    <xf numFmtId="0" fontId="64" fillId="0" borderId="3" xfId="0" applyFont="1" applyFill="1" applyBorder="1" applyAlignment="1">
      <alignment horizontal="center" vertical="top" wrapText="1"/>
    </xf>
    <xf numFmtId="0" fontId="64" fillId="0" borderId="6" xfId="0" applyFont="1" applyFill="1" applyBorder="1" applyAlignment="1">
      <alignment horizontal="center" vertical="top" wrapText="1"/>
    </xf>
    <xf numFmtId="0" fontId="64" fillId="0" borderId="0" xfId="29" applyFont="1" applyBorder="1" applyAlignment="1">
      <alignment horizontal="center"/>
      <protection/>
    </xf>
    <xf numFmtId="0" fontId="86" fillId="0" borderId="0" xfId="0" applyFont="1" applyAlignment="1">
      <alignment horizontal="center" wrapText="1"/>
    </xf>
    <xf numFmtId="0" fontId="64" fillId="0" borderId="46" xfId="0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4" fillId="0" borderId="47" xfId="0" applyFont="1" applyFill="1" applyBorder="1" applyAlignment="1">
      <alignment horizontal="center" vertical="top" wrapText="1"/>
    </xf>
    <xf numFmtId="0" fontId="64" fillId="0" borderId="49" xfId="0" applyFont="1" applyFill="1" applyBorder="1" applyAlignment="1">
      <alignment horizontal="center" vertical="top" wrapText="1"/>
    </xf>
    <xf numFmtId="0" fontId="64" fillId="0" borderId="1" xfId="0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76" fillId="0" borderId="47" xfId="0" applyFont="1" applyFill="1" applyBorder="1" applyAlignment="1">
      <alignment/>
    </xf>
    <xf numFmtId="0" fontId="76" fillId="0" borderId="49" xfId="0" applyFont="1" applyFill="1" applyBorder="1" applyAlignment="1">
      <alignment/>
    </xf>
    <xf numFmtId="0" fontId="63" fillId="0" borderId="0" xfId="23" applyFont="1" applyFill="1" applyBorder="1" applyAlignment="1">
      <alignment horizontal="center"/>
      <protection/>
    </xf>
    <xf numFmtId="0" fontId="52" fillId="0" borderId="0" xfId="0" applyFont="1" applyFill="1" applyAlignment="1">
      <alignment horizontal="right"/>
    </xf>
    <xf numFmtId="0" fontId="64" fillId="0" borderId="46" xfId="23" applyFont="1" applyFill="1" applyBorder="1" applyAlignment="1">
      <alignment horizontal="center"/>
      <protection/>
    </xf>
    <xf numFmtId="0" fontId="64" fillId="0" borderId="55" xfId="23" applyFont="1" applyFill="1" applyBorder="1" applyAlignment="1">
      <alignment horizontal="center"/>
      <protection/>
    </xf>
    <xf numFmtId="0" fontId="16" fillId="0" borderId="96" xfId="0" applyFont="1" applyFill="1" applyBorder="1" applyAlignment="1">
      <alignment horizontal="center" vertical="top" wrapText="1"/>
    </xf>
    <xf numFmtId="0" fontId="16" fillId="0" borderId="105" xfId="0" applyFont="1" applyFill="1" applyBorder="1" applyAlignment="1">
      <alignment horizontal="center" vertical="top" wrapText="1"/>
    </xf>
    <xf numFmtId="0" fontId="97" fillId="0" borderId="0" xfId="0" applyFont="1" applyFill="1" applyAlignment="1">
      <alignment horizontal="right"/>
    </xf>
    <xf numFmtId="0" fontId="70" fillId="0" borderId="214" xfId="0" applyFont="1" applyBorder="1" applyAlignment="1">
      <alignment horizontal="center"/>
    </xf>
    <xf numFmtId="0" fontId="70" fillId="0" borderId="209" xfId="0" applyFont="1" applyBorder="1" applyAlignment="1">
      <alignment horizontal="center"/>
    </xf>
    <xf numFmtId="0" fontId="70" fillId="0" borderId="187" xfId="0" applyFont="1" applyBorder="1" applyAlignment="1">
      <alignment horizontal="center"/>
    </xf>
    <xf numFmtId="0" fontId="103" fillId="0" borderId="0" xfId="0" applyFont="1" applyAlignment="1">
      <alignment horizontal="center" wrapText="1"/>
    </xf>
    <xf numFmtId="0" fontId="103" fillId="0" borderId="0" xfId="0" applyFont="1" applyAlignment="1">
      <alignment/>
    </xf>
    <xf numFmtId="0" fontId="6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00" fillId="0" borderId="79" xfId="27" applyFont="1" applyBorder="1" applyAlignment="1">
      <alignment horizontal="center"/>
      <protection/>
    </xf>
    <xf numFmtId="0" fontId="101" fillId="4" borderId="0" xfId="20" applyFont="1" applyFill="1" applyAlignment="1">
      <alignment horizontal="center"/>
      <protection/>
    </xf>
    <xf numFmtId="0" fontId="101" fillId="4" borderId="61" xfId="0" applyFont="1" applyFill="1" applyBorder="1" applyAlignment="1">
      <alignment horizontal="center" vertical="center" wrapText="1"/>
    </xf>
    <xf numFmtId="0" fontId="101" fillId="4" borderId="96" xfId="0" applyFont="1" applyFill="1" applyBorder="1" applyAlignment="1">
      <alignment horizontal="center" vertical="center" wrapText="1"/>
    </xf>
    <xf numFmtId="0" fontId="101" fillId="4" borderId="63" xfId="0" applyFont="1" applyFill="1" applyBorder="1" applyAlignment="1">
      <alignment horizontal="center" vertical="center" wrapText="1"/>
    </xf>
    <xf numFmtId="0" fontId="101" fillId="4" borderId="61" xfId="0" applyFont="1" applyFill="1" applyBorder="1" applyAlignment="1">
      <alignment horizontal="center" vertical="center"/>
    </xf>
    <xf numFmtId="0" fontId="101" fillId="4" borderId="96" xfId="0" applyFont="1" applyFill="1" applyBorder="1" applyAlignment="1">
      <alignment horizontal="center" vertical="center"/>
    </xf>
    <xf numFmtId="0" fontId="101" fillId="4" borderId="63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0" fillId="4" borderId="93" xfId="0" applyFont="1" applyFill="1" applyBorder="1" applyAlignment="1">
      <alignment horizontal="center"/>
    </xf>
    <xf numFmtId="0" fontId="0" fillId="4" borderId="96" xfId="0" applyFont="1" applyFill="1" applyBorder="1" applyAlignment="1">
      <alignment horizontal="center"/>
    </xf>
    <xf numFmtId="0" fontId="0" fillId="4" borderId="94" xfId="0" applyFont="1" applyFill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97" fillId="0" borderId="0" xfId="23" applyNumberFormat="1" applyFont="1" applyFill="1" applyBorder="1" applyAlignment="1" applyProtection="1">
      <alignment horizontal="left" wrapText="1"/>
      <protection locked="0"/>
    </xf>
    <xf numFmtId="0" fontId="102" fillId="0" borderId="5" xfId="0" applyFont="1" applyBorder="1" applyAlignment="1" applyProtection="1">
      <alignment horizontal="center"/>
      <protection locked="0"/>
    </xf>
    <xf numFmtId="0" fontId="106" fillId="0" borderId="0" xfId="0" applyFont="1" applyAlignment="1" applyProtection="1">
      <alignment horizontal="right"/>
      <protection locked="0"/>
    </xf>
    <xf numFmtId="0" fontId="64" fillId="0" borderId="3" xfId="23" applyFont="1" applyFill="1" applyBorder="1" applyAlignment="1" applyProtection="1">
      <alignment horizontal="center" vertical="top" wrapText="1"/>
      <protection locked="0"/>
    </xf>
    <xf numFmtId="0" fontId="64" fillId="0" borderId="21" xfId="23" applyFont="1" applyFill="1" applyBorder="1" applyAlignment="1" applyProtection="1">
      <alignment horizontal="center" vertical="top" wrapText="1"/>
      <protection locked="0"/>
    </xf>
    <xf numFmtId="0" fontId="64" fillId="0" borderId="6" xfId="23" applyFont="1" applyFill="1" applyBorder="1" applyAlignment="1" applyProtection="1">
      <alignment horizontal="center" vertical="top" wrapText="1"/>
      <protection locked="0"/>
    </xf>
    <xf numFmtId="0" fontId="64" fillId="0" borderId="1" xfId="23" applyFont="1" applyFill="1" applyBorder="1" applyAlignment="1" applyProtection="1">
      <alignment horizontal="center" vertical="center" wrapText="1"/>
      <protection locked="0"/>
    </xf>
    <xf numFmtId="0" fontId="64" fillId="0" borderId="50" xfId="23" applyFont="1" applyFill="1" applyBorder="1" applyAlignment="1" applyProtection="1">
      <alignment horizontal="center" vertical="center" wrapText="1"/>
      <protection locked="0"/>
    </xf>
    <xf numFmtId="0" fontId="64" fillId="0" borderId="55" xfId="23" applyFont="1" applyFill="1" applyBorder="1" applyAlignment="1" applyProtection="1">
      <alignment horizontal="center" vertical="center" wrapText="1"/>
      <protection locked="0"/>
    </xf>
    <xf numFmtId="0" fontId="64" fillId="0" borderId="48" xfId="23" applyFont="1" applyFill="1" applyBorder="1" applyAlignment="1" applyProtection="1">
      <alignment horizontal="center" vertical="top"/>
      <protection locked="0"/>
    </xf>
    <xf numFmtId="0" fontId="64" fillId="0" borderId="49" xfId="23" applyFont="1" applyFill="1" applyBorder="1" applyAlignment="1" applyProtection="1">
      <alignment horizontal="center" vertical="top"/>
      <protection locked="0"/>
    </xf>
    <xf numFmtId="0" fontId="64" fillId="0" borderId="4" xfId="0" applyFont="1" applyFill="1" applyBorder="1" applyAlignment="1" applyProtection="1">
      <alignment horizontal="center" vertical="center" wrapText="1"/>
      <protection locked="0"/>
    </xf>
    <xf numFmtId="0" fontId="64" fillId="0" borderId="6" xfId="0" applyFont="1" applyFill="1" applyBorder="1" applyAlignment="1" applyProtection="1">
      <alignment horizontal="center" vertical="center" wrapText="1"/>
      <protection locked="0"/>
    </xf>
    <xf numFmtId="0" fontId="64" fillId="0" borderId="50" xfId="0" applyFont="1" applyFill="1" applyBorder="1" applyAlignment="1" applyProtection="1">
      <alignment horizontal="center" vertical="top" wrapText="1"/>
      <protection locked="0"/>
    </xf>
    <xf numFmtId="0" fontId="64" fillId="0" borderId="55" xfId="0" applyFont="1" applyFill="1" applyBorder="1" applyAlignment="1" applyProtection="1">
      <alignment horizontal="center" vertical="top" wrapText="1"/>
      <protection locked="0"/>
    </xf>
    <xf numFmtId="0" fontId="102" fillId="4" borderId="0" xfId="22" applyNumberFormat="1" applyFont="1" applyFill="1" applyAlignment="1" applyProtection="1">
      <alignment horizontal="center"/>
      <protection locked="0"/>
    </xf>
    <xf numFmtId="0" fontId="64" fillId="0" borderId="46" xfId="0" applyFont="1" applyFill="1" applyBorder="1" applyAlignment="1" applyProtection="1">
      <alignment horizontal="center" vertical="top" wrapText="1"/>
      <protection locked="0"/>
    </xf>
    <xf numFmtId="0" fontId="64" fillId="0" borderId="48" xfId="23" applyFont="1" applyFill="1" applyBorder="1" applyAlignment="1" applyProtection="1">
      <alignment horizontal="center" wrapText="1"/>
      <protection locked="0"/>
    </xf>
    <xf numFmtId="0" fontId="64" fillId="0" borderId="49" xfId="23" applyFont="1" applyFill="1" applyBorder="1" applyAlignment="1" applyProtection="1">
      <alignment horizontal="center" wrapText="1"/>
      <protection locked="0"/>
    </xf>
    <xf numFmtId="0" fontId="64" fillId="0" borderId="50" xfId="23" applyFont="1" applyFill="1" applyBorder="1" applyAlignment="1" applyProtection="1">
      <alignment horizontal="center" vertical="top" wrapText="1"/>
      <protection locked="0"/>
    </xf>
    <xf numFmtId="0" fontId="69" fillId="0" borderId="55" xfId="0" applyFont="1" applyFill="1" applyBorder="1" applyAlignment="1" applyProtection="1">
      <alignment vertical="top" wrapText="1"/>
      <protection locked="0"/>
    </xf>
    <xf numFmtId="0" fontId="64" fillId="0" borderId="21" xfId="0" applyFont="1" applyFill="1" applyBorder="1" applyAlignment="1" applyProtection="1">
      <alignment horizontal="center" vertical="top" wrapText="1"/>
      <protection locked="0"/>
    </xf>
    <xf numFmtId="0" fontId="64" fillId="0" borderId="6" xfId="0" applyFont="1" applyFill="1" applyBorder="1" applyAlignment="1" applyProtection="1">
      <alignment horizontal="center" vertical="top" wrapText="1"/>
      <protection locked="0"/>
    </xf>
    <xf numFmtId="0" fontId="64" fillId="0" borderId="46" xfId="23" applyFont="1" applyFill="1" applyBorder="1" applyAlignment="1" applyProtection="1">
      <alignment horizontal="center" vertical="top" wrapText="1"/>
      <protection locked="0"/>
    </xf>
    <xf numFmtId="0" fontId="64" fillId="0" borderId="55" xfId="23" applyFont="1" applyFill="1" applyBorder="1" applyAlignment="1" applyProtection="1">
      <alignment horizontal="center" vertical="top" wrapText="1"/>
      <protection locked="0"/>
    </xf>
    <xf numFmtId="0" fontId="103" fillId="0" borderId="0" xfId="0" applyFont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97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64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0" fontId="64" fillId="0" borderId="49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16" fillId="0" borderId="0" xfId="0" applyFont="1" applyAlignment="1">
      <alignment horizontal="right"/>
    </xf>
    <xf numFmtId="3" fontId="97" fillId="0" borderId="0" xfId="0" applyNumberFormat="1" applyFont="1" applyAlignment="1">
      <alignment horizontal="right"/>
    </xf>
    <xf numFmtId="3" fontId="67" fillId="0" borderId="0" xfId="0" applyNumberFormat="1" applyFont="1" applyBorder="1" applyAlignment="1">
      <alignment horizontal="center"/>
    </xf>
    <xf numFmtId="3" fontId="52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right"/>
    </xf>
    <xf numFmtId="0" fontId="67" fillId="0" borderId="0" xfId="0" applyFont="1" applyAlignment="1">
      <alignment horizontal="center" wrapText="1"/>
    </xf>
    <xf numFmtId="3" fontId="71" fillId="0" borderId="0" xfId="0" applyNumberFormat="1" applyFont="1" applyAlignment="1">
      <alignment horizontal="right"/>
    </xf>
    <xf numFmtId="0" fontId="24" fillId="12" borderId="1" xfId="0" applyFont="1" applyFill="1" applyBorder="1" applyAlignment="1">
      <alignment horizontal="left" wrapText="1"/>
    </xf>
    <xf numFmtId="0" fontId="24" fillId="12" borderId="2" xfId="0" applyFont="1" applyFill="1" applyBorder="1" applyAlignment="1">
      <alignment horizontal="left" wrapText="1"/>
    </xf>
    <xf numFmtId="0" fontId="24" fillId="12" borderId="3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</cellXfs>
  <cellStyles count="2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Návrh pllánu 100% Str. EO" xfId="21"/>
    <cellStyle name="normální_tab 1(PRG-Celk)" xfId="22"/>
    <cellStyle name="normální_tab 3 (adres)" xfId="23"/>
    <cellStyle name="normální_tab 3 (adres)_příl1_pokyn NMV_pozn_k novelizaci_vzorce" xfId="24"/>
    <cellStyle name="normální_tab 3 (adres)_Příloha_č_1-důchody" xfId="25"/>
    <cellStyle name="normální_tab 3 (adres)_Příloha_č_1-ostatní dávky" xfId="26"/>
    <cellStyle name="normální_tab 5 (odpr)" xfId="27"/>
    <cellStyle name="normální_tab 5 (odpr)_příl1_pokyn NMV_pozn_k novelizaci_vzorce" xfId="28"/>
    <cellStyle name="normální_tab 5 (odpr)_Příloha_č_1-důchody" xfId="29"/>
    <cellStyle name="normální_tab 5 (odpr)_Příloha_č_1-ostatní dávky" xfId="30"/>
    <cellStyle name="normální_tab2000" xfId="31"/>
    <cellStyle name="Percent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4">
      <selection activeCell="F8" sqref="F8"/>
    </sheetView>
  </sheetViews>
  <sheetFormatPr defaultColWidth="9.00390625" defaultRowHeight="12.75"/>
  <cols>
    <col min="1" max="1" width="28.125" style="0" customWidth="1"/>
    <col min="2" max="6" width="10.125" style="0" customWidth="1"/>
    <col min="7" max="7" width="13.00390625" style="0" customWidth="1"/>
    <col min="8" max="9" width="10.125" style="0" customWidth="1"/>
    <col min="10" max="10" width="10.00390625" style="0" customWidth="1"/>
    <col min="11" max="13" width="10.125" style="0" customWidth="1"/>
    <col min="14" max="14" width="12.375" style="0" customWidth="1"/>
  </cols>
  <sheetData>
    <row r="1" spans="1:14" ht="12.75">
      <c r="A1" s="1256" t="s">
        <v>3513</v>
      </c>
      <c r="N1" s="271" t="s">
        <v>3603</v>
      </c>
    </row>
    <row r="2" spans="1:14" ht="17.25" customHeight="1">
      <c r="A2" s="1854" t="s">
        <v>3297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</row>
    <row r="3" spans="1:11" ht="12.75">
      <c r="A3" s="266"/>
      <c r="B3" s="266"/>
      <c r="C3" s="24"/>
      <c r="E3" s="266"/>
      <c r="H3" s="266"/>
      <c r="K3" s="266"/>
    </row>
    <row r="4" spans="1:14" ht="13.5" thickBot="1">
      <c r="A4" s="24"/>
      <c r="B4" s="266"/>
      <c r="E4" s="266"/>
      <c r="H4" s="266"/>
      <c r="K4" s="266"/>
      <c r="N4" s="271" t="s">
        <v>2575</v>
      </c>
    </row>
    <row r="5" spans="1:14" ht="13.5" thickTop="1">
      <c r="A5" s="972"/>
      <c r="B5" s="973" t="s">
        <v>3298</v>
      </c>
      <c r="C5" s="974"/>
      <c r="D5" s="1257"/>
      <c r="E5" s="973" t="s">
        <v>3299</v>
      </c>
      <c r="F5" s="974"/>
      <c r="G5" s="975"/>
      <c r="H5" s="973" t="s">
        <v>3300</v>
      </c>
      <c r="I5" s="975"/>
      <c r="J5" s="1035"/>
      <c r="K5" s="1855" t="s">
        <v>3301</v>
      </c>
      <c r="L5" s="1856"/>
      <c r="M5" s="1856"/>
      <c r="N5" s="977"/>
    </row>
    <row r="6" spans="1:14" ht="12.75">
      <c r="A6" s="978" t="s">
        <v>3223</v>
      </c>
      <c r="B6" s="979" t="s">
        <v>2585</v>
      </c>
      <c r="C6" s="980" t="s">
        <v>3302</v>
      </c>
      <c r="D6" s="981" t="s">
        <v>3303</v>
      </c>
      <c r="E6" s="979" t="s">
        <v>2585</v>
      </c>
      <c r="F6" s="980" t="s">
        <v>3302</v>
      </c>
      <c r="G6" s="981" t="s">
        <v>3303</v>
      </c>
      <c r="H6" s="979" t="s">
        <v>2585</v>
      </c>
      <c r="I6" s="981" t="s">
        <v>3302</v>
      </c>
      <c r="J6" s="981" t="s">
        <v>3303</v>
      </c>
      <c r="K6" s="979" t="s">
        <v>2585</v>
      </c>
      <c r="L6" s="979" t="s">
        <v>3302</v>
      </c>
      <c r="M6" s="980" t="s">
        <v>3303</v>
      </c>
      <c r="N6" s="982" t="s">
        <v>3304</v>
      </c>
    </row>
    <row r="7" spans="1:14" ht="13.5" thickBot="1">
      <c r="A7" s="983"/>
      <c r="B7" s="984" t="s">
        <v>3305</v>
      </c>
      <c r="C7" s="984" t="s">
        <v>3306</v>
      </c>
      <c r="D7" s="985" t="s">
        <v>3307</v>
      </c>
      <c r="E7" s="984" t="s">
        <v>3305</v>
      </c>
      <c r="F7" s="984" t="s">
        <v>3306</v>
      </c>
      <c r="G7" s="985" t="s">
        <v>3307</v>
      </c>
      <c r="H7" s="984" t="s">
        <v>3305</v>
      </c>
      <c r="I7" s="985" t="s">
        <v>3306</v>
      </c>
      <c r="J7" s="985" t="s">
        <v>3307</v>
      </c>
      <c r="K7" s="984" t="s">
        <v>3305</v>
      </c>
      <c r="L7" s="984" t="s">
        <v>3306</v>
      </c>
      <c r="M7" s="984" t="s">
        <v>3307</v>
      </c>
      <c r="N7" s="986"/>
    </row>
    <row r="8" spans="1:14" ht="13.5" thickBot="1">
      <c r="A8" s="987" t="s">
        <v>3308</v>
      </c>
      <c r="B8" s="988">
        <v>4715051</v>
      </c>
      <c r="C8" s="989">
        <v>4638303</v>
      </c>
      <c r="D8" s="990">
        <f>B8-C8</f>
        <v>76748</v>
      </c>
      <c r="E8" s="988">
        <v>3882983</v>
      </c>
      <c r="F8" s="989">
        <f>3798133+1</f>
        <v>3798134</v>
      </c>
      <c r="G8" s="990">
        <f>E8-F8</f>
        <v>84849</v>
      </c>
      <c r="H8" s="988">
        <f>115099+38485</f>
        <v>153584</v>
      </c>
      <c r="I8" s="990">
        <f>575032+59524</f>
        <v>634556</v>
      </c>
      <c r="J8" s="990">
        <f>H8-I8</f>
        <v>-480972</v>
      </c>
      <c r="K8" s="988">
        <f>B8+H8</f>
        <v>4868635</v>
      </c>
      <c r="L8" s="988">
        <f>C8+I8</f>
        <v>5272859</v>
      </c>
      <c r="M8" s="988">
        <f>K8-L8</f>
        <v>-404224</v>
      </c>
      <c r="N8" s="991">
        <f>L8*100/K8</f>
        <v>108.30261459320734</v>
      </c>
    </row>
    <row r="9" spans="1:14" ht="12.75">
      <c r="A9" s="992" t="s">
        <v>3309</v>
      </c>
      <c r="B9" s="993">
        <v>28091</v>
      </c>
      <c r="C9" s="994">
        <v>27757</v>
      </c>
      <c r="D9" s="995">
        <f>B9-C9</f>
        <v>334</v>
      </c>
      <c r="E9" s="993">
        <v>23134</v>
      </c>
      <c r="F9" s="994">
        <v>22725</v>
      </c>
      <c r="G9" s="995">
        <f>E9-F9</f>
        <v>409</v>
      </c>
      <c r="H9" s="993">
        <v>56010</v>
      </c>
      <c r="I9" s="995">
        <v>365948</v>
      </c>
      <c r="J9" s="995">
        <f>H9-I9</f>
        <v>-309938</v>
      </c>
      <c r="K9" s="993">
        <f>B9+H9</f>
        <v>84101</v>
      </c>
      <c r="L9" s="993">
        <f>SUM(C9+I9)</f>
        <v>393705</v>
      </c>
      <c r="M9" s="994">
        <f>K9-L9</f>
        <v>-309604</v>
      </c>
      <c r="N9" s="996">
        <f aca="true" t="shared" si="0" ref="N9:N33">L9*100/K9</f>
        <v>468.1335537032853</v>
      </c>
    </row>
    <row r="10" spans="1:14" ht="14.25" customHeight="1">
      <c r="A10" s="992" t="s">
        <v>3310</v>
      </c>
      <c r="B10" s="993">
        <v>0</v>
      </c>
      <c r="C10" s="994">
        <v>0</v>
      </c>
      <c r="D10" s="995">
        <f>B10-C10</f>
        <v>0</v>
      </c>
      <c r="E10" s="993">
        <v>0</v>
      </c>
      <c r="F10" s="994">
        <v>0</v>
      </c>
      <c r="G10" s="995">
        <f>E10-F10</f>
        <v>0</v>
      </c>
      <c r="H10" s="993">
        <v>572</v>
      </c>
      <c r="I10" s="995">
        <v>16939</v>
      </c>
      <c r="J10" s="995">
        <f>H10-I10</f>
        <v>-16367</v>
      </c>
      <c r="K10" s="993">
        <f>B10+H10</f>
        <v>572</v>
      </c>
      <c r="L10" s="993">
        <f>SUM(C10+I10)</f>
        <v>16939</v>
      </c>
      <c r="M10" s="994">
        <f>K10-L10</f>
        <v>-16367</v>
      </c>
      <c r="N10" s="996">
        <f t="shared" si="0"/>
        <v>2961.3636363636365</v>
      </c>
    </row>
    <row r="11" spans="1:14" ht="14.25" customHeight="1">
      <c r="A11" s="992" t="s">
        <v>2645</v>
      </c>
      <c r="B11" s="993">
        <v>29974</v>
      </c>
      <c r="C11" s="994">
        <v>29824</v>
      </c>
      <c r="D11" s="995">
        <f>B11-C11</f>
        <v>150</v>
      </c>
      <c r="E11" s="993">
        <v>24684</v>
      </c>
      <c r="F11" s="994">
        <v>24400</v>
      </c>
      <c r="G11" s="995">
        <f>E11-F11</f>
        <v>284</v>
      </c>
      <c r="H11" s="993">
        <v>8743</v>
      </c>
      <c r="I11" s="995">
        <v>8865</v>
      </c>
      <c r="J11" s="995">
        <f>H11-I11</f>
        <v>-122</v>
      </c>
      <c r="K11" s="993">
        <f>B11+H11</f>
        <v>38717</v>
      </c>
      <c r="L11" s="993">
        <f>SUM(C11+I11)</f>
        <v>38689</v>
      </c>
      <c r="M11" s="994">
        <f>K11-L11</f>
        <v>28</v>
      </c>
      <c r="N11" s="996">
        <f t="shared" si="0"/>
        <v>99.92768034713433</v>
      </c>
    </row>
    <row r="12" spans="1:14" ht="13.5" thickBot="1">
      <c r="A12" s="997" t="s">
        <v>2646</v>
      </c>
      <c r="B12" s="998">
        <f aca="true" t="shared" si="1" ref="B12:M12">SUM(B8+B9+B10+B11)</f>
        <v>4773116</v>
      </c>
      <c r="C12" s="999">
        <f t="shared" si="1"/>
        <v>4695884</v>
      </c>
      <c r="D12" s="1000">
        <f t="shared" si="1"/>
        <v>77232</v>
      </c>
      <c r="E12" s="998">
        <f t="shared" si="1"/>
        <v>3930801</v>
      </c>
      <c r="F12" s="999">
        <f t="shared" si="1"/>
        <v>3845259</v>
      </c>
      <c r="G12" s="1000">
        <f t="shared" si="1"/>
        <v>85542</v>
      </c>
      <c r="H12" s="998">
        <f t="shared" si="1"/>
        <v>218909</v>
      </c>
      <c r="I12" s="1000">
        <f t="shared" si="1"/>
        <v>1026308</v>
      </c>
      <c r="J12" s="1000">
        <f t="shared" si="1"/>
        <v>-807399</v>
      </c>
      <c r="K12" s="998">
        <f t="shared" si="1"/>
        <v>4992025</v>
      </c>
      <c r="L12" s="998">
        <f t="shared" si="1"/>
        <v>5722192</v>
      </c>
      <c r="M12" s="998">
        <f t="shared" si="1"/>
        <v>-730167</v>
      </c>
      <c r="N12" s="1001">
        <f t="shared" si="0"/>
        <v>114.62666953791297</v>
      </c>
    </row>
    <row r="13" spans="1:14" ht="13.5" thickBot="1">
      <c r="A13" s="1002" t="s">
        <v>2662</v>
      </c>
      <c r="B13" s="1003">
        <v>968782</v>
      </c>
      <c r="C13" s="1004">
        <f>974144-3143</f>
        <v>971001</v>
      </c>
      <c r="D13" s="1005">
        <f aca="true" t="shared" si="2" ref="D13:D32">B13-C13</f>
        <v>-2219</v>
      </c>
      <c r="E13" s="1003">
        <v>797821</v>
      </c>
      <c r="F13" s="1004">
        <f>796933-2567</f>
        <v>794366</v>
      </c>
      <c r="G13" s="1005">
        <f aca="true" t="shared" si="3" ref="G13:G32">E13-F13</f>
        <v>3455</v>
      </c>
      <c r="H13" s="1003">
        <v>26520</v>
      </c>
      <c r="I13" s="1005">
        <f>178159-359</f>
        <v>177800</v>
      </c>
      <c r="J13" s="1005">
        <f aca="true" t="shared" si="4" ref="J13:J32">H13-I13</f>
        <v>-151280</v>
      </c>
      <c r="K13" s="1003">
        <f aca="true" t="shared" si="5" ref="K13:L32">B13+H13</f>
        <v>995302</v>
      </c>
      <c r="L13" s="1003">
        <f aca="true" t="shared" si="6" ref="L13:L32">SUM(C13+I13)</f>
        <v>1148801</v>
      </c>
      <c r="M13" s="1004">
        <f aca="true" t="shared" si="7" ref="M13:M32">K13-L13</f>
        <v>-153499</v>
      </c>
      <c r="N13" s="1006">
        <f t="shared" si="0"/>
        <v>115.42235422012615</v>
      </c>
    </row>
    <row r="14" spans="1:14" ht="12.75">
      <c r="A14" s="992" t="s">
        <v>3311</v>
      </c>
      <c r="B14" s="993">
        <v>0</v>
      </c>
      <c r="C14" s="994">
        <v>0</v>
      </c>
      <c r="D14" s="995">
        <v>0</v>
      </c>
      <c r="E14" s="993">
        <v>0</v>
      </c>
      <c r="F14" s="994">
        <v>0</v>
      </c>
      <c r="G14" s="995">
        <v>0</v>
      </c>
      <c r="H14" s="993">
        <v>600</v>
      </c>
      <c r="I14" s="995">
        <v>2289</v>
      </c>
      <c r="J14" s="995">
        <f t="shared" si="4"/>
        <v>-1689</v>
      </c>
      <c r="K14" s="993">
        <f t="shared" si="5"/>
        <v>600</v>
      </c>
      <c r="L14" s="993">
        <f t="shared" si="5"/>
        <v>2289</v>
      </c>
      <c r="M14" s="994">
        <f t="shared" si="7"/>
        <v>-1689</v>
      </c>
      <c r="N14" s="1007">
        <f t="shared" si="0"/>
        <v>381.5</v>
      </c>
    </row>
    <row r="15" spans="1:14" ht="12.75">
      <c r="A15" s="992" t="s">
        <v>3312</v>
      </c>
      <c r="B15" s="993">
        <v>0</v>
      </c>
      <c r="C15" s="994">
        <v>0</v>
      </c>
      <c r="D15" s="995">
        <v>0</v>
      </c>
      <c r="E15" s="993">
        <v>0</v>
      </c>
      <c r="F15" s="994">
        <v>0</v>
      </c>
      <c r="G15" s="995">
        <v>0</v>
      </c>
      <c r="H15" s="993">
        <v>500</v>
      </c>
      <c r="I15" s="995">
        <v>2504</v>
      </c>
      <c r="J15" s="995">
        <f t="shared" si="4"/>
        <v>-2004</v>
      </c>
      <c r="K15" s="993">
        <f t="shared" si="5"/>
        <v>500</v>
      </c>
      <c r="L15" s="993">
        <f t="shared" si="5"/>
        <v>2504</v>
      </c>
      <c r="M15" s="994">
        <f t="shared" si="7"/>
        <v>-2004</v>
      </c>
      <c r="N15" s="1007">
        <f t="shared" si="0"/>
        <v>500.8</v>
      </c>
    </row>
    <row r="16" spans="1:14" ht="12.75">
      <c r="A16" s="992" t="s">
        <v>3313</v>
      </c>
      <c r="B16" s="993">
        <v>0</v>
      </c>
      <c r="C16" s="994">
        <v>0</v>
      </c>
      <c r="D16" s="995">
        <v>0</v>
      </c>
      <c r="E16" s="993">
        <v>0</v>
      </c>
      <c r="F16" s="994">
        <v>0</v>
      </c>
      <c r="G16" s="995">
        <v>0</v>
      </c>
      <c r="H16" s="993">
        <v>50</v>
      </c>
      <c r="I16" s="995">
        <v>359</v>
      </c>
      <c r="J16" s="995">
        <f t="shared" si="4"/>
        <v>-309</v>
      </c>
      <c r="K16" s="993">
        <f t="shared" si="5"/>
        <v>50</v>
      </c>
      <c r="L16" s="993">
        <f t="shared" si="5"/>
        <v>359</v>
      </c>
      <c r="M16" s="994">
        <f t="shared" si="7"/>
        <v>-309</v>
      </c>
      <c r="N16" s="1007">
        <f t="shared" si="0"/>
        <v>718</v>
      </c>
    </row>
    <row r="17" spans="1:14" ht="12.75">
      <c r="A17" s="992" t="s">
        <v>3314</v>
      </c>
      <c r="B17" s="993">
        <v>0</v>
      </c>
      <c r="C17" s="994">
        <v>0</v>
      </c>
      <c r="D17" s="995">
        <v>0</v>
      </c>
      <c r="E17" s="993">
        <v>0</v>
      </c>
      <c r="F17" s="994">
        <v>0</v>
      </c>
      <c r="G17" s="995">
        <v>0</v>
      </c>
      <c r="H17" s="993">
        <v>100</v>
      </c>
      <c r="I17" s="995">
        <v>667</v>
      </c>
      <c r="J17" s="995">
        <f t="shared" si="4"/>
        <v>-567</v>
      </c>
      <c r="K17" s="993">
        <f t="shared" si="5"/>
        <v>100</v>
      </c>
      <c r="L17" s="993">
        <f t="shared" si="5"/>
        <v>667</v>
      </c>
      <c r="M17" s="994">
        <f t="shared" si="7"/>
        <v>-567</v>
      </c>
      <c r="N17" s="1007">
        <f t="shared" si="0"/>
        <v>667</v>
      </c>
    </row>
    <row r="18" spans="1:14" ht="12.75">
      <c r="A18" s="992" t="s">
        <v>3315</v>
      </c>
      <c r="B18" s="993">
        <v>0</v>
      </c>
      <c r="C18" s="994">
        <v>0</v>
      </c>
      <c r="D18" s="995">
        <v>0</v>
      </c>
      <c r="E18" s="993">
        <v>0</v>
      </c>
      <c r="F18" s="994">
        <v>0</v>
      </c>
      <c r="G18" s="995">
        <v>0</v>
      </c>
      <c r="H18" s="993">
        <v>200</v>
      </c>
      <c r="I18" s="995">
        <v>558</v>
      </c>
      <c r="J18" s="995">
        <f t="shared" si="4"/>
        <v>-358</v>
      </c>
      <c r="K18" s="993">
        <f t="shared" si="5"/>
        <v>200</v>
      </c>
      <c r="L18" s="993">
        <f t="shared" si="5"/>
        <v>558</v>
      </c>
      <c r="M18" s="994">
        <f t="shared" si="7"/>
        <v>-358</v>
      </c>
      <c r="N18" s="1007">
        <f t="shared" si="0"/>
        <v>279</v>
      </c>
    </row>
    <row r="19" spans="1:14" ht="12.75">
      <c r="A19" s="992" t="s">
        <v>3316</v>
      </c>
      <c r="B19" s="993">
        <v>0</v>
      </c>
      <c r="C19" s="994">
        <v>0</v>
      </c>
      <c r="D19" s="995">
        <v>0</v>
      </c>
      <c r="E19" s="993">
        <v>0</v>
      </c>
      <c r="F19" s="994">
        <v>0</v>
      </c>
      <c r="G19" s="995">
        <v>0</v>
      </c>
      <c r="H19" s="993">
        <v>200</v>
      </c>
      <c r="I19" s="995">
        <v>534</v>
      </c>
      <c r="J19" s="995">
        <f t="shared" si="4"/>
        <v>-334</v>
      </c>
      <c r="K19" s="993">
        <f t="shared" si="5"/>
        <v>200</v>
      </c>
      <c r="L19" s="993">
        <f t="shared" si="5"/>
        <v>534</v>
      </c>
      <c r="M19" s="994">
        <f t="shared" si="7"/>
        <v>-334</v>
      </c>
      <c r="N19" s="1007">
        <f t="shared" si="0"/>
        <v>267</v>
      </c>
    </row>
    <row r="20" spans="1:14" ht="12.75">
      <c r="A20" s="992" t="s">
        <v>2729</v>
      </c>
      <c r="B20" s="993">
        <v>0</v>
      </c>
      <c r="C20" s="994">
        <v>0</v>
      </c>
      <c r="D20" s="995">
        <v>0</v>
      </c>
      <c r="E20" s="993">
        <v>0</v>
      </c>
      <c r="F20" s="994">
        <v>0</v>
      </c>
      <c r="G20" s="995">
        <v>0</v>
      </c>
      <c r="H20" s="993">
        <v>150</v>
      </c>
      <c r="I20" s="995">
        <v>1090</v>
      </c>
      <c r="J20" s="995">
        <f t="shared" si="4"/>
        <v>-940</v>
      </c>
      <c r="K20" s="993">
        <f t="shared" si="5"/>
        <v>150</v>
      </c>
      <c r="L20" s="993">
        <f t="shared" si="5"/>
        <v>1090</v>
      </c>
      <c r="M20" s="994">
        <f t="shared" si="7"/>
        <v>-940</v>
      </c>
      <c r="N20" s="1007">
        <f t="shared" si="0"/>
        <v>726.6666666666666</v>
      </c>
    </row>
    <row r="21" spans="1:14" ht="12.75">
      <c r="A21" s="992" t="s">
        <v>2730</v>
      </c>
      <c r="B21" s="993">
        <v>0</v>
      </c>
      <c r="C21" s="994">
        <v>0</v>
      </c>
      <c r="D21" s="995">
        <v>0</v>
      </c>
      <c r="E21" s="993">
        <v>0</v>
      </c>
      <c r="F21" s="994">
        <v>0</v>
      </c>
      <c r="G21" s="995">
        <v>0</v>
      </c>
      <c r="H21" s="993">
        <v>50</v>
      </c>
      <c r="I21" s="995">
        <v>1305</v>
      </c>
      <c r="J21" s="995">
        <f>H21-I21</f>
        <v>-1255</v>
      </c>
      <c r="K21" s="993">
        <f t="shared" si="5"/>
        <v>50</v>
      </c>
      <c r="L21" s="993">
        <f t="shared" si="5"/>
        <v>1305</v>
      </c>
      <c r="M21" s="994">
        <f>K21-L21</f>
        <v>-1255</v>
      </c>
      <c r="N21" s="1007">
        <f>L21*100/K21</f>
        <v>2610</v>
      </c>
    </row>
    <row r="22" spans="1:14" ht="13.5" thickBot="1">
      <c r="A22" s="1008" t="s">
        <v>3317</v>
      </c>
      <c r="B22" s="1009">
        <v>0</v>
      </c>
      <c r="C22" s="1010">
        <v>0</v>
      </c>
      <c r="D22" s="1011">
        <v>0</v>
      </c>
      <c r="E22" s="1009">
        <v>0</v>
      </c>
      <c r="F22" s="1010">
        <v>0</v>
      </c>
      <c r="G22" s="1011">
        <v>0</v>
      </c>
      <c r="H22" s="1009">
        <f>SUM(H14:H21)</f>
        <v>1850</v>
      </c>
      <c r="I22" s="1012">
        <f>SUM(I14:I21)</f>
        <v>9306</v>
      </c>
      <c r="J22" s="1012">
        <f>SUM(J14:J21)</f>
        <v>-7456</v>
      </c>
      <c r="K22" s="993">
        <f t="shared" si="5"/>
        <v>1850</v>
      </c>
      <c r="L22" s="993">
        <f t="shared" si="5"/>
        <v>9306</v>
      </c>
      <c r="M22" s="994">
        <f>K22-L22</f>
        <v>-7456</v>
      </c>
      <c r="N22" s="1007">
        <f>L22*100/K22</f>
        <v>503.02702702702703</v>
      </c>
    </row>
    <row r="23" spans="1:14" ht="12.75">
      <c r="A23" s="1013" t="s">
        <v>2655</v>
      </c>
      <c r="B23" s="1014">
        <v>10634</v>
      </c>
      <c r="C23" s="1015">
        <v>10406</v>
      </c>
      <c r="D23" s="1016">
        <f t="shared" si="2"/>
        <v>228</v>
      </c>
      <c r="E23" s="1014">
        <v>8756</v>
      </c>
      <c r="F23" s="1015">
        <v>8518</v>
      </c>
      <c r="G23" s="1016">
        <f t="shared" si="3"/>
        <v>238</v>
      </c>
      <c r="H23" s="1014">
        <v>1050</v>
      </c>
      <c r="I23" s="1016">
        <v>3332</v>
      </c>
      <c r="J23" s="1016">
        <f t="shared" si="4"/>
        <v>-2282</v>
      </c>
      <c r="K23" s="1014">
        <f t="shared" si="5"/>
        <v>11684</v>
      </c>
      <c r="L23" s="1014">
        <f t="shared" si="6"/>
        <v>13738</v>
      </c>
      <c r="M23" s="1015">
        <f t="shared" si="7"/>
        <v>-2054</v>
      </c>
      <c r="N23" s="1017">
        <f t="shared" si="0"/>
        <v>117.57959602875728</v>
      </c>
    </row>
    <row r="24" spans="1:14" ht="12.75">
      <c r="A24" s="992" t="s">
        <v>2656</v>
      </c>
      <c r="B24" s="993">
        <v>8415</v>
      </c>
      <c r="C24" s="994">
        <v>8358</v>
      </c>
      <c r="D24" s="995">
        <f t="shared" si="2"/>
        <v>57</v>
      </c>
      <c r="E24" s="993">
        <v>6931</v>
      </c>
      <c r="F24" s="994">
        <v>6838</v>
      </c>
      <c r="G24" s="995">
        <f t="shared" si="3"/>
        <v>93</v>
      </c>
      <c r="H24" s="993">
        <v>332</v>
      </c>
      <c r="I24" s="995">
        <v>679</v>
      </c>
      <c r="J24" s="995">
        <f t="shared" si="4"/>
        <v>-347</v>
      </c>
      <c r="K24" s="993">
        <f t="shared" si="5"/>
        <v>8747</v>
      </c>
      <c r="L24" s="993">
        <f t="shared" si="6"/>
        <v>9037</v>
      </c>
      <c r="M24" s="994">
        <f t="shared" si="7"/>
        <v>-290</v>
      </c>
      <c r="N24" s="996">
        <f t="shared" si="0"/>
        <v>103.31542243054761</v>
      </c>
    </row>
    <row r="25" spans="1:14" ht="12.75">
      <c r="A25" s="992" t="s">
        <v>2589</v>
      </c>
      <c r="B25" s="993">
        <v>12372</v>
      </c>
      <c r="C25" s="994">
        <v>12329</v>
      </c>
      <c r="D25" s="995">
        <f t="shared" si="2"/>
        <v>43</v>
      </c>
      <c r="E25" s="993">
        <v>10189</v>
      </c>
      <c r="F25" s="994">
        <v>10093</v>
      </c>
      <c r="G25" s="995">
        <f t="shared" si="3"/>
        <v>96</v>
      </c>
      <c r="H25" s="993">
        <v>1633</v>
      </c>
      <c r="I25" s="995">
        <v>2559</v>
      </c>
      <c r="J25" s="995">
        <f t="shared" si="4"/>
        <v>-926</v>
      </c>
      <c r="K25" s="993">
        <f t="shared" si="5"/>
        <v>14005</v>
      </c>
      <c r="L25" s="993">
        <f t="shared" si="6"/>
        <v>14888</v>
      </c>
      <c r="M25" s="994">
        <f t="shared" si="7"/>
        <v>-883</v>
      </c>
      <c r="N25" s="996">
        <f t="shared" si="0"/>
        <v>106.30489111031774</v>
      </c>
    </row>
    <row r="26" spans="1:14" ht="12.75">
      <c r="A26" s="992" t="s">
        <v>2701</v>
      </c>
      <c r="B26" s="993">
        <v>3344</v>
      </c>
      <c r="C26" s="994">
        <v>3322</v>
      </c>
      <c r="D26" s="995">
        <f t="shared" si="2"/>
        <v>22</v>
      </c>
      <c r="E26" s="993">
        <v>2754</v>
      </c>
      <c r="F26" s="994">
        <v>2718</v>
      </c>
      <c r="G26" s="995">
        <f t="shared" si="3"/>
        <v>36</v>
      </c>
      <c r="H26" s="993">
        <v>48</v>
      </c>
      <c r="I26" s="995">
        <v>119</v>
      </c>
      <c r="J26" s="995">
        <f t="shared" si="4"/>
        <v>-71</v>
      </c>
      <c r="K26" s="993">
        <f t="shared" si="5"/>
        <v>3392</v>
      </c>
      <c r="L26" s="993">
        <f t="shared" si="6"/>
        <v>3441</v>
      </c>
      <c r="M26" s="994">
        <f t="shared" si="7"/>
        <v>-49</v>
      </c>
      <c r="N26" s="996">
        <f t="shared" si="0"/>
        <v>101.44457547169812</v>
      </c>
    </row>
    <row r="27" spans="1:14" ht="12.75">
      <c r="A27" s="992" t="s">
        <v>2657</v>
      </c>
      <c r="B27" s="993">
        <v>3254</v>
      </c>
      <c r="C27" s="994">
        <v>3239</v>
      </c>
      <c r="D27" s="995">
        <f t="shared" si="2"/>
        <v>15</v>
      </c>
      <c r="E27" s="993">
        <v>2680</v>
      </c>
      <c r="F27" s="994">
        <v>2650</v>
      </c>
      <c r="G27" s="995">
        <f t="shared" si="3"/>
        <v>30</v>
      </c>
      <c r="H27" s="993">
        <v>35</v>
      </c>
      <c r="I27" s="995">
        <v>124</v>
      </c>
      <c r="J27" s="995">
        <f t="shared" si="4"/>
        <v>-89</v>
      </c>
      <c r="K27" s="993">
        <f t="shared" si="5"/>
        <v>3289</v>
      </c>
      <c r="L27" s="993">
        <f t="shared" si="6"/>
        <v>3363</v>
      </c>
      <c r="M27" s="994">
        <f t="shared" si="7"/>
        <v>-74</v>
      </c>
      <c r="N27" s="996">
        <f t="shared" si="0"/>
        <v>102.24992398905442</v>
      </c>
    </row>
    <row r="28" spans="1:14" ht="12.75">
      <c r="A28" s="992" t="s">
        <v>2592</v>
      </c>
      <c r="B28" s="993">
        <v>2100</v>
      </c>
      <c r="C28" s="994">
        <v>2022</v>
      </c>
      <c r="D28" s="995">
        <f t="shared" si="2"/>
        <v>78</v>
      </c>
      <c r="E28" s="993">
        <v>1729</v>
      </c>
      <c r="F28" s="994">
        <v>1656</v>
      </c>
      <c r="G28" s="995">
        <f t="shared" si="3"/>
        <v>73</v>
      </c>
      <c r="H28" s="993">
        <v>35</v>
      </c>
      <c r="I28" s="995">
        <v>144</v>
      </c>
      <c r="J28" s="995">
        <f t="shared" si="4"/>
        <v>-109</v>
      </c>
      <c r="K28" s="993">
        <f t="shared" si="5"/>
        <v>2135</v>
      </c>
      <c r="L28" s="993">
        <f t="shared" si="6"/>
        <v>2166</v>
      </c>
      <c r="M28" s="994">
        <f t="shared" si="7"/>
        <v>-31</v>
      </c>
      <c r="N28" s="996">
        <f t="shared" si="0"/>
        <v>101.4519906323185</v>
      </c>
    </row>
    <row r="29" spans="1:14" ht="12.75">
      <c r="A29" s="992" t="s">
        <v>3318</v>
      </c>
      <c r="B29" s="993">
        <v>3130</v>
      </c>
      <c r="C29" s="994">
        <v>3143</v>
      </c>
      <c r="D29" s="995">
        <f t="shared" si="2"/>
        <v>-13</v>
      </c>
      <c r="E29" s="993">
        <v>2578</v>
      </c>
      <c r="F29" s="994">
        <v>2567</v>
      </c>
      <c r="G29" s="995">
        <f t="shared" si="3"/>
        <v>11</v>
      </c>
      <c r="H29" s="993">
        <v>80</v>
      </c>
      <c r="I29" s="995">
        <v>359</v>
      </c>
      <c r="J29" s="995">
        <f t="shared" si="4"/>
        <v>-279</v>
      </c>
      <c r="K29" s="993">
        <f t="shared" si="5"/>
        <v>3210</v>
      </c>
      <c r="L29" s="993">
        <f t="shared" si="6"/>
        <v>3502</v>
      </c>
      <c r="M29" s="994">
        <f t="shared" si="7"/>
        <v>-292</v>
      </c>
      <c r="N29" s="996">
        <f t="shared" si="0"/>
        <v>109.09657320872275</v>
      </c>
    </row>
    <row r="30" spans="1:14" ht="12.75">
      <c r="A30" s="992" t="s">
        <v>3319</v>
      </c>
      <c r="B30" s="993">
        <v>2827</v>
      </c>
      <c r="C30" s="994">
        <v>4122</v>
      </c>
      <c r="D30" s="995">
        <f t="shared" si="2"/>
        <v>-1295</v>
      </c>
      <c r="E30" s="993">
        <v>2328</v>
      </c>
      <c r="F30" s="994">
        <v>3301</v>
      </c>
      <c r="G30" s="995">
        <f t="shared" si="3"/>
        <v>-973</v>
      </c>
      <c r="H30" s="993">
        <v>4260</v>
      </c>
      <c r="I30" s="995">
        <v>8393</v>
      </c>
      <c r="J30" s="995">
        <f t="shared" si="4"/>
        <v>-4133</v>
      </c>
      <c r="K30" s="993">
        <f t="shared" si="5"/>
        <v>7087</v>
      </c>
      <c r="L30" s="993">
        <f t="shared" si="6"/>
        <v>12515</v>
      </c>
      <c r="M30" s="994">
        <f t="shared" si="7"/>
        <v>-5428</v>
      </c>
      <c r="N30" s="996">
        <f t="shared" si="0"/>
        <v>176.5909411598702</v>
      </c>
    </row>
    <row r="31" spans="1:14" ht="12.75">
      <c r="A31" s="992" t="s">
        <v>2663</v>
      </c>
      <c r="B31" s="993">
        <v>0</v>
      </c>
      <c r="C31" s="994">
        <v>0</v>
      </c>
      <c r="D31" s="995">
        <f t="shared" si="2"/>
        <v>0</v>
      </c>
      <c r="E31" s="993">
        <v>0</v>
      </c>
      <c r="F31" s="994">
        <v>0</v>
      </c>
      <c r="G31" s="995">
        <f t="shared" si="3"/>
        <v>0</v>
      </c>
      <c r="H31" s="993">
        <v>1068</v>
      </c>
      <c r="I31" s="995">
        <v>2250</v>
      </c>
      <c r="J31" s="995">
        <f t="shared" si="4"/>
        <v>-1182</v>
      </c>
      <c r="K31" s="993">
        <f t="shared" si="5"/>
        <v>1068</v>
      </c>
      <c r="L31" s="993">
        <f t="shared" si="6"/>
        <v>2250</v>
      </c>
      <c r="M31" s="994">
        <f t="shared" si="7"/>
        <v>-1182</v>
      </c>
      <c r="N31" s="996">
        <f t="shared" si="0"/>
        <v>210.67415730337078</v>
      </c>
    </row>
    <row r="32" spans="1:14" ht="12.75">
      <c r="A32" s="992" t="s">
        <v>2664</v>
      </c>
      <c r="B32" s="993">
        <v>0</v>
      </c>
      <c r="C32" s="994">
        <v>0</v>
      </c>
      <c r="D32" s="995">
        <f t="shared" si="2"/>
        <v>0</v>
      </c>
      <c r="E32" s="993">
        <v>0</v>
      </c>
      <c r="F32" s="994">
        <v>0</v>
      </c>
      <c r="G32" s="995">
        <f t="shared" si="3"/>
        <v>0</v>
      </c>
      <c r="H32" s="993">
        <v>180</v>
      </c>
      <c r="I32" s="995">
        <v>272</v>
      </c>
      <c r="J32" s="995">
        <f t="shared" si="4"/>
        <v>-92</v>
      </c>
      <c r="K32" s="993">
        <f t="shared" si="5"/>
        <v>180</v>
      </c>
      <c r="L32" s="993">
        <f t="shared" si="6"/>
        <v>272</v>
      </c>
      <c r="M32" s="994">
        <f t="shared" si="7"/>
        <v>-92</v>
      </c>
      <c r="N32" s="996">
        <f t="shared" si="0"/>
        <v>151.11111111111111</v>
      </c>
    </row>
    <row r="33" spans="1:14" ht="13.5" thickBot="1">
      <c r="A33" s="987" t="s">
        <v>3320</v>
      </c>
      <c r="B33" s="988">
        <f aca="true" t="shared" si="8" ref="B33:M33">SUM(B23:B32)</f>
        <v>46076</v>
      </c>
      <c r="C33" s="989">
        <f t="shared" si="8"/>
        <v>46941</v>
      </c>
      <c r="D33" s="990">
        <f t="shared" si="8"/>
        <v>-865</v>
      </c>
      <c r="E33" s="988">
        <f t="shared" si="8"/>
        <v>37945</v>
      </c>
      <c r="F33" s="989">
        <f t="shared" si="8"/>
        <v>38341</v>
      </c>
      <c r="G33" s="990">
        <f t="shared" si="8"/>
        <v>-396</v>
      </c>
      <c r="H33" s="988">
        <f t="shared" si="8"/>
        <v>8721</v>
      </c>
      <c r="I33" s="990">
        <f t="shared" si="8"/>
        <v>18231</v>
      </c>
      <c r="J33" s="990">
        <f t="shared" si="8"/>
        <v>-9510</v>
      </c>
      <c r="K33" s="988">
        <f t="shared" si="8"/>
        <v>54797</v>
      </c>
      <c r="L33" s="988">
        <f t="shared" si="8"/>
        <v>65172</v>
      </c>
      <c r="M33" s="988">
        <f t="shared" si="8"/>
        <v>-10375</v>
      </c>
      <c r="N33" s="991">
        <f t="shared" si="0"/>
        <v>118.93351825829882</v>
      </c>
    </row>
    <row r="34" spans="1:14" ht="12.75" hidden="1">
      <c r="A34" s="992" t="s">
        <v>2711</v>
      </c>
      <c r="B34" s="993">
        <v>0</v>
      </c>
      <c r="C34" s="994">
        <v>0</v>
      </c>
      <c r="D34" s="995">
        <f>B34-C34</f>
        <v>0</v>
      </c>
      <c r="E34" s="993">
        <v>0</v>
      </c>
      <c r="F34" s="994">
        <v>0</v>
      </c>
      <c r="G34" s="995">
        <f>E34-F34</f>
        <v>0</v>
      </c>
      <c r="H34" s="993">
        <v>0</v>
      </c>
      <c r="I34" s="995">
        <v>0</v>
      </c>
      <c r="J34" s="995">
        <f>H34-I34</f>
        <v>0</v>
      </c>
      <c r="K34" s="993">
        <f>B34+E34+H34</f>
        <v>0</v>
      </c>
      <c r="L34" s="993">
        <f>SUM(C34+F34+I34)</f>
        <v>0</v>
      </c>
      <c r="M34" s="994">
        <f>K34-L34</f>
        <v>0</v>
      </c>
      <c r="N34" s="996">
        <v>0</v>
      </c>
    </row>
    <row r="35" spans="1:14" ht="12.75" hidden="1">
      <c r="A35" s="992" t="s">
        <v>2709</v>
      </c>
      <c r="B35" s="993">
        <v>0</v>
      </c>
      <c r="C35" s="994">
        <v>0</v>
      </c>
      <c r="D35" s="995">
        <f>B35-C35</f>
        <v>0</v>
      </c>
      <c r="E35" s="993">
        <v>0</v>
      </c>
      <c r="F35" s="994">
        <v>0</v>
      </c>
      <c r="G35" s="995">
        <f>E35-F35</f>
        <v>0</v>
      </c>
      <c r="H35" s="993">
        <v>0</v>
      </c>
      <c r="I35" s="995">
        <v>0</v>
      </c>
      <c r="J35" s="995">
        <f>H35-I35</f>
        <v>0</v>
      </c>
      <c r="K35" s="993">
        <f>B35+E35+H35</f>
        <v>0</v>
      </c>
      <c r="L35" s="993">
        <f>SUM(C35+F35+I35)</f>
        <v>0</v>
      </c>
      <c r="M35" s="994">
        <f>K35-L35</f>
        <v>0</v>
      </c>
      <c r="N35" s="996">
        <v>0</v>
      </c>
    </row>
    <row r="36" spans="1:14" ht="12.75" hidden="1">
      <c r="A36" s="992" t="s">
        <v>2713</v>
      </c>
      <c r="B36" s="993">
        <v>0</v>
      </c>
      <c r="C36" s="994">
        <v>0</v>
      </c>
      <c r="D36" s="995">
        <f>B36-C36</f>
        <v>0</v>
      </c>
      <c r="E36" s="993">
        <v>0</v>
      </c>
      <c r="F36" s="994">
        <v>0</v>
      </c>
      <c r="G36" s="995">
        <f>E36-F36</f>
        <v>0</v>
      </c>
      <c r="H36" s="993">
        <v>0</v>
      </c>
      <c r="I36" s="995">
        <v>0</v>
      </c>
      <c r="J36" s="995">
        <f>H36-I36</f>
        <v>0</v>
      </c>
      <c r="K36" s="993">
        <f>B36+E36+H36</f>
        <v>0</v>
      </c>
      <c r="L36" s="993">
        <f>SUM(C36+F36+I36)</f>
        <v>0</v>
      </c>
      <c r="M36" s="994">
        <f>K36-L36</f>
        <v>0</v>
      </c>
      <c r="N36" s="996">
        <v>0</v>
      </c>
    </row>
    <row r="37" spans="1:14" ht="12.75" hidden="1">
      <c r="A37" s="1018" t="s">
        <v>2712</v>
      </c>
      <c r="B37" s="1019">
        <v>0</v>
      </c>
      <c r="C37" s="1020">
        <v>0</v>
      </c>
      <c r="D37" s="995">
        <f>B37-C37</f>
        <v>0</v>
      </c>
      <c r="E37" s="1019">
        <v>0</v>
      </c>
      <c r="F37" s="994">
        <v>0</v>
      </c>
      <c r="G37" s="995">
        <f>E37-F37</f>
        <v>0</v>
      </c>
      <c r="H37" s="1019">
        <v>0</v>
      </c>
      <c r="I37" s="1021">
        <v>0</v>
      </c>
      <c r="J37" s="995">
        <f>H37-I37</f>
        <v>0</v>
      </c>
      <c r="K37" s="993">
        <f>B37+E37+H37</f>
        <v>0</v>
      </c>
      <c r="L37" s="993">
        <f>SUM(C37+F37+I37)</f>
        <v>0</v>
      </c>
      <c r="M37" s="994">
        <f>K37-L37</f>
        <v>0</v>
      </c>
      <c r="N37" s="996">
        <v>0</v>
      </c>
    </row>
    <row r="38" spans="1:14" ht="12.75" hidden="1">
      <c r="A38" s="992" t="s">
        <v>2710</v>
      </c>
      <c r="B38" s="993">
        <v>0</v>
      </c>
      <c r="C38" s="994">
        <v>0</v>
      </c>
      <c r="D38" s="995">
        <f>B38-C38</f>
        <v>0</v>
      </c>
      <c r="E38" s="993">
        <v>0</v>
      </c>
      <c r="F38" s="994">
        <v>0</v>
      </c>
      <c r="G38" s="995">
        <f>E38-F38</f>
        <v>0</v>
      </c>
      <c r="H38" s="993">
        <v>0</v>
      </c>
      <c r="I38" s="995">
        <v>0</v>
      </c>
      <c r="J38" s="995">
        <f>H38-I38</f>
        <v>0</v>
      </c>
      <c r="K38" s="993">
        <f>B38+E38+H38</f>
        <v>0</v>
      </c>
      <c r="L38" s="993">
        <f>SUM(C38+F38+I38)</f>
        <v>0</v>
      </c>
      <c r="M38" s="994">
        <f>K38-L38</f>
        <v>0</v>
      </c>
      <c r="N38" s="996">
        <v>0</v>
      </c>
    </row>
    <row r="39" spans="1:14" ht="13.5" hidden="1" thickBot="1">
      <c r="A39" s="987" t="s">
        <v>3321</v>
      </c>
      <c r="B39" s="988">
        <f>SUM(B34:B38)</f>
        <v>0</v>
      </c>
      <c r="C39" s="989">
        <f>SUM(C34:C38)</f>
        <v>0</v>
      </c>
      <c r="D39" s="990">
        <v>0</v>
      </c>
      <c r="E39" s="988">
        <f>SUM(E34:E38)</f>
        <v>0</v>
      </c>
      <c r="F39" s="989">
        <f>SUM(F34:F38)</f>
        <v>0</v>
      </c>
      <c r="G39" s="990">
        <v>0</v>
      </c>
      <c r="H39" s="988">
        <f>SUM(H34:H38)</f>
        <v>0</v>
      </c>
      <c r="I39" s="990">
        <f>SUM(I34:I38)</f>
        <v>0</v>
      </c>
      <c r="J39" s="990">
        <v>0</v>
      </c>
      <c r="K39" s="988">
        <f>SUM(K34:K38)</f>
        <v>0</v>
      </c>
      <c r="L39" s="988">
        <f>SUM(L34:L38)</f>
        <v>0</v>
      </c>
      <c r="M39" s="988">
        <f>SUM(M34:M38)</f>
        <v>0</v>
      </c>
      <c r="N39" s="996">
        <v>0</v>
      </c>
    </row>
    <row r="40" spans="1:14" ht="13.5" thickBot="1">
      <c r="A40" s="1022" t="s">
        <v>2715</v>
      </c>
      <c r="B40" s="1023">
        <f aca="true" t="shared" si="9" ref="B40:G40">SUM(B12+B13+B33+B39)</f>
        <v>5787974</v>
      </c>
      <c r="C40" s="1024">
        <f t="shared" si="9"/>
        <v>5713826</v>
      </c>
      <c r="D40" s="1025">
        <f t="shared" si="9"/>
        <v>74148</v>
      </c>
      <c r="E40" s="1023">
        <f t="shared" si="9"/>
        <v>4766567</v>
      </c>
      <c r="F40" s="1024">
        <f t="shared" si="9"/>
        <v>4677966</v>
      </c>
      <c r="G40" s="1025">
        <f t="shared" si="9"/>
        <v>88601</v>
      </c>
      <c r="H40" s="1023">
        <f aca="true" t="shared" si="10" ref="H40:M40">SUM(H12+H13+H22+H33+H39)</f>
        <v>256000</v>
      </c>
      <c r="I40" s="1025">
        <f>SUM(I12+I13+I22+I33+I39)</f>
        <v>1231645</v>
      </c>
      <c r="J40" s="1025">
        <f t="shared" si="10"/>
        <v>-975645</v>
      </c>
      <c r="K40" s="1023">
        <f t="shared" si="10"/>
        <v>6043974</v>
      </c>
      <c r="L40" s="1023">
        <f t="shared" si="10"/>
        <v>6945471</v>
      </c>
      <c r="M40" s="1023">
        <f t="shared" si="10"/>
        <v>-901497</v>
      </c>
      <c r="N40" s="1026">
        <f>L40*100/K40</f>
        <v>114.915633323373</v>
      </c>
    </row>
    <row r="41" spans="1:14" ht="14.25" thickBot="1" thickTop="1">
      <c r="A41" s="1027" t="s">
        <v>3751</v>
      </c>
      <c r="B41" s="993">
        <v>62026</v>
      </c>
      <c r="C41" s="994">
        <v>0</v>
      </c>
      <c r="D41" s="995">
        <f>B41-C41</f>
        <v>62026</v>
      </c>
      <c r="E41" s="993">
        <v>51080</v>
      </c>
      <c r="F41" s="994">
        <v>0</v>
      </c>
      <c r="G41" s="995">
        <f>E41-F41</f>
        <v>51080</v>
      </c>
      <c r="H41" s="993">
        <v>0</v>
      </c>
      <c r="I41" s="995"/>
      <c r="J41" s="995">
        <f>H41-I41</f>
        <v>0</v>
      </c>
      <c r="K41" s="993">
        <v>62026</v>
      </c>
      <c r="L41" s="993">
        <v>0</v>
      </c>
      <c r="M41" s="994">
        <f>K41-L41</f>
        <v>62026</v>
      </c>
      <c r="N41" s="996">
        <v>0</v>
      </c>
    </row>
    <row r="42" spans="1:14" ht="13.5" thickBot="1">
      <c r="A42" s="1028" t="s">
        <v>2666</v>
      </c>
      <c r="B42" s="1029">
        <f aca="true" t="shared" si="11" ref="B42:M42">SUM(B40+B41)</f>
        <v>5850000</v>
      </c>
      <c r="C42" s="1030">
        <f t="shared" si="11"/>
        <v>5713826</v>
      </c>
      <c r="D42" s="1031">
        <f t="shared" si="11"/>
        <v>136174</v>
      </c>
      <c r="E42" s="1029">
        <f t="shared" si="11"/>
        <v>4817647</v>
      </c>
      <c r="F42" s="1030">
        <f t="shared" si="11"/>
        <v>4677966</v>
      </c>
      <c r="G42" s="1031">
        <f t="shared" si="11"/>
        <v>139681</v>
      </c>
      <c r="H42" s="1029">
        <f t="shared" si="11"/>
        <v>256000</v>
      </c>
      <c r="I42" s="1031">
        <f t="shared" si="11"/>
        <v>1231645</v>
      </c>
      <c r="J42" s="1031">
        <f t="shared" si="11"/>
        <v>-975645</v>
      </c>
      <c r="K42" s="1029">
        <f t="shared" si="11"/>
        <v>6106000</v>
      </c>
      <c r="L42" s="1029">
        <f t="shared" si="11"/>
        <v>6945471</v>
      </c>
      <c r="M42" s="1029">
        <f t="shared" si="11"/>
        <v>-839471</v>
      </c>
      <c r="N42" s="1026">
        <f>L42*100/K42</f>
        <v>113.74829675728792</v>
      </c>
    </row>
    <row r="43" ht="13.5" thickTop="1"/>
    <row r="45" spans="1:14" ht="12.75">
      <c r="A45" t="s">
        <v>3601</v>
      </c>
      <c r="I45" t="s">
        <v>3602</v>
      </c>
      <c r="M45" s="1853" t="s">
        <v>3510</v>
      </c>
      <c r="N45" s="1853"/>
    </row>
    <row r="46" ht="12.75">
      <c r="A46" s="1032"/>
    </row>
  </sheetData>
  <mergeCells count="3">
    <mergeCell ref="M45:N45"/>
    <mergeCell ref="A2:N2"/>
    <mergeCell ref="K5:M5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82" r:id="rId1"/>
  <headerFooter alignWithMargins="0">
    <oddFooter>&amp;C&amp;P+76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U196"/>
  <sheetViews>
    <sheetView workbookViewId="0" topLeftCell="A1">
      <selection activeCell="A2" sqref="A2:F2"/>
    </sheetView>
  </sheetViews>
  <sheetFormatPr defaultColWidth="9.00390625" defaultRowHeight="12.75"/>
  <cols>
    <col min="1" max="1" width="44.50390625" style="0" customWidth="1"/>
    <col min="2" max="2" width="7.00390625" style="0" bestFit="1" customWidth="1"/>
    <col min="3" max="5" width="16.875" style="392" bestFit="1" customWidth="1"/>
    <col min="6" max="6" width="15.125" style="392" bestFit="1" customWidth="1"/>
    <col min="255" max="255" width="14.50390625" style="0" bestFit="1" customWidth="1"/>
  </cols>
  <sheetData>
    <row r="2" spans="1:6" ht="12.75">
      <c r="A2" s="1888" t="s">
        <v>3416</v>
      </c>
      <c r="B2" s="1888"/>
      <c r="C2" s="1888"/>
      <c r="D2" s="1888"/>
      <c r="E2" s="1888"/>
      <c r="F2" s="1888"/>
    </row>
    <row r="3" ht="13.5" thickBot="1">
      <c r="F3" s="1120" t="s">
        <v>2597</v>
      </c>
    </row>
    <row r="4" spans="1:6" ht="13.5" thickBot="1">
      <c r="A4" s="1121" t="s">
        <v>3417</v>
      </c>
      <c r="B4" s="1122" t="s">
        <v>3418</v>
      </c>
      <c r="C4" s="1123" t="s">
        <v>2584</v>
      </c>
      <c r="D4" s="1123" t="s">
        <v>2585</v>
      </c>
      <c r="E4" s="1123" t="s">
        <v>3419</v>
      </c>
      <c r="F4" s="534" t="s">
        <v>3420</v>
      </c>
    </row>
    <row r="5" spans="1:255" ht="12.75">
      <c r="A5" s="1124" t="s">
        <v>3421</v>
      </c>
      <c r="B5" s="1124" t="s">
        <v>3422</v>
      </c>
      <c r="C5" s="1125">
        <v>64787000</v>
      </c>
      <c r="D5" s="1125">
        <v>42758000</v>
      </c>
      <c r="E5" s="1125">
        <v>34561306.26</v>
      </c>
      <c r="F5" s="1125">
        <v>9166000</v>
      </c>
      <c r="IU5" s="392"/>
    </row>
    <row r="6" spans="1:255" ht="12.75">
      <c r="A6" s="1126" t="s">
        <v>3421</v>
      </c>
      <c r="B6" s="1126" t="s">
        <v>3423</v>
      </c>
      <c r="C6" s="1127">
        <v>1781000</v>
      </c>
      <c r="D6" s="1127">
        <v>1063000</v>
      </c>
      <c r="E6" s="1127">
        <v>1059100</v>
      </c>
      <c r="F6" s="1127">
        <v>3900</v>
      </c>
      <c r="IU6" s="392"/>
    </row>
    <row r="7" spans="1:255" ht="12.75">
      <c r="A7" s="1128" t="s">
        <v>3424</v>
      </c>
      <c r="B7" s="1128"/>
      <c r="C7" s="1129">
        <f>SUM(C5:C6)</f>
        <v>66568000</v>
      </c>
      <c r="D7" s="1129">
        <f>SUM(D5:D6)</f>
        <v>43821000</v>
      </c>
      <c r="E7" s="1129">
        <f>SUM(E5:E6)</f>
        <v>35620406.26</v>
      </c>
      <c r="F7" s="1129">
        <f>SUM(F5:F6)</f>
        <v>9169900</v>
      </c>
      <c r="IU7" s="392"/>
    </row>
    <row r="8" spans="1:255" ht="12.75">
      <c r="A8" s="1126" t="s">
        <v>3425</v>
      </c>
      <c r="B8" s="1126" t="s">
        <v>3422</v>
      </c>
      <c r="C8" s="1127">
        <v>140227000</v>
      </c>
      <c r="D8" s="1127">
        <v>126695000</v>
      </c>
      <c r="E8" s="1127">
        <v>68004097.7</v>
      </c>
      <c r="F8" s="1127">
        <v>60780000</v>
      </c>
      <c r="IU8" s="392"/>
    </row>
    <row r="9" spans="1:255" ht="12.75">
      <c r="A9" s="1126" t="s">
        <v>3183</v>
      </c>
      <c r="B9" s="1126" t="s">
        <v>3423</v>
      </c>
      <c r="C9" s="1127">
        <v>2660000</v>
      </c>
      <c r="D9" s="1127">
        <v>8959000</v>
      </c>
      <c r="E9" s="1127">
        <v>3844513.29</v>
      </c>
      <c r="F9" s="1127">
        <v>5103000</v>
      </c>
      <c r="IU9" s="392"/>
    </row>
    <row r="10" spans="1:255" ht="12.75">
      <c r="A10" s="1128" t="s">
        <v>3426</v>
      </c>
      <c r="B10" s="1128"/>
      <c r="C10" s="1129">
        <f>SUM(C8:C9)</f>
        <v>142887000</v>
      </c>
      <c r="D10" s="1129">
        <f>SUM(D8:D9)</f>
        <v>135654000</v>
      </c>
      <c r="E10" s="1129">
        <f>SUM(E8:E9)</f>
        <v>71848610.99000001</v>
      </c>
      <c r="F10" s="1129">
        <f>SUM(F8:F9)</f>
        <v>65883000</v>
      </c>
      <c r="IU10" s="392"/>
    </row>
    <row r="11" spans="1:255" ht="12.75">
      <c r="A11" s="1126" t="s">
        <v>3184</v>
      </c>
      <c r="B11" s="1126" t="s">
        <v>3422</v>
      </c>
      <c r="C11" s="1127">
        <v>93408000</v>
      </c>
      <c r="D11" s="1127">
        <v>67542000</v>
      </c>
      <c r="E11" s="1127">
        <v>35371602.9</v>
      </c>
      <c r="F11" s="1127">
        <v>32170397</v>
      </c>
      <c r="IU11" s="392"/>
    </row>
    <row r="12" spans="1:255" ht="12.75">
      <c r="A12" s="1126" t="s">
        <v>3184</v>
      </c>
      <c r="B12" s="1126" t="s">
        <v>3423</v>
      </c>
      <c r="C12" s="1127">
        <v>1160000</v>
      </c>
      <c r="D12" s="1127">
        <v>5921000</v>
      </c>
      <c r="E12" s="1127">
        <v>5714769.3</v>
      </c>
      <c r="F12" s="1127">
        <v>206230</v>
      </c>
      <c r="IU12" s="392"/>
    </row>
    <row r="13" spans="1:255" ht="12.75">
      <c r="A13" s="1128" t="s">
        <v>3427</v>
      </c>
      <c r="B13" s="1128"/>
      <c r="C13" s="1129">
        <f>SUM(C11:C12)</f>
        <v>94568000</v>
      </c>
      <c r="D13" s="1129">
        <f>SUM(D11:D12)</f>
        <v>73463000</v>
      </c>
      <c r="E13" s="1129">
        <f>SUM(E11:E12)</f>
        <v>41086372.199999996</v>
      </c>
      <c r="F13" s="1129">
        <f>SUM(F11:F12)</f>
        <v>32376627</v>
      </c>
      <c r="IU13" s="392"/>
    </row>
    <row r="14" spans="1:255" ht="12.75">
      <c r="A14" s="1126" t="s">
        <v>3185</v>
      </c>
      <c r="B14" s="1126" t="s">
        <v>3422</v>
      </c>
      <c r="C14" s="1127">
        <v>95684000</v>
      </c>
      <c r="D14" s="1127">
        <v>66146000</v>
      </c>
      <c r="E14" s="1127">
        <v>14195239.05</v>
      </c>
      <c r="F14" s="1127">
        <v>51942352.2</v>
      </c>
      <c r="IU14" s="392"/>
    </row>
    <row r="15" spans="1:255" ht="12.75">
      <c r="A15" s="1126" t="s">
        <v>3185</v>
      </c>
      <c r="B15" s="1126" t="s">
        <v>3423</v>
      </c>
      <c r="C15" s="1127">
        <v>930000</v>
      </c>
      <c r="D15" s="1127">
        <v>15448000</v>
      </c>
      <c r="E15" s="1127">
        <v>1519843.75</v>
      </c>
      <c r="F15" s="1127">
        <v>13922464.75</v>
      </c>
      <c r="IU15" s="392"/>
    </row>
    <row r="16" spans="1:255" ht="12.75">
      <c r="A16" s="1128" t="s">
        <v>3428</v>
      </c>
      <c r="B16" s="1128"/>
      <c r="C16" s="1129">
        <f>SUM(C14:C15)</f>
        <v>96614000</v>
      </c>
      <c r="D16" s="1129">
        <f>SUM(D14:D15)</f>
        <v>81594000</v>
      </c>
      <c r="E16" s="1129">
        <f>SUM(E14:E15)</f>
        <v>15715082.8</v>
      </c>
      <c r="F16" s="1129">
        <f>SUM(F14:F15)</f>
        <v>65864816.95</v>
      </c>
      <c r="IU16" s="392"/>
    </row>
    <row r="17" spans="1:255" ht="12.75">
      <c r="A17" s="1126" t="s">
        <v>3186</v>
      </c>
      <c r="B17" s="1126" t="s">
        <v>3422</v>
      </c>
      <c r="C17" s="1127">
        <v>46426000</v>
      </c>
      <c r="D17" s="1127">
        <v>47862000</v>
      </c>
      <c r="E17" s="1127">
        <v>38838463.16</v>
      </c>
      <c r="F17" s="1127">
        <v>9023535</v>
      </c>
      <c r="IU17" s="392"/>
    </row>
    <row r="18" spans="1:255" ht="12.75">
      <c r="A18" s="1126" t="s">
        <v>3186</v>
      </c>
      <c r="B18" s="1126" t="s">
        <v>3423</v>
      </c>
      <c r="C18" s="1127">
        <v>1099000</v>
      </c>
      <c r="D18" s="1127">
        <v>1397000</v>
      </c>
      <c r="E18" s="1127">
        <v>1394808</v>
      </c>
      <c r="F18" s="1127">
        <v>2192</v>
      </c>
      <c r="IU18" s="392"/>
    </row>
    <row r="19" spans="1:255" ht="12.75">
      <c r="A19" s="1128" t="s">
        <v>3429</v>
      </c>
      <c r="B19" s="1128"/>
      <c r="C19" s="1129">
        <f>SUM(C17:C18)</f>
        <v>47525000</v>
      </c>
      <c r="D19" s="1129">
        <f>SUM(D17:D18)</f>
        <v>49259000</v>
      </c>
      <c r="E19" s="1129">
        <f>SUM(E17:E18)</f>
        <v>40233271.16</v>
      </c>
      <c r="F19" s="1129">
        <f>SUM(F17:F18)</f>
        <v>9025727</v>
      </c>
      <c r="IU19" s="392"/>
    </row>
    <row r="20" spans="1:255" ht="12.75">
      <c r="A20" s="1126" t="s">
        <v>3430</v>
      </c>
      <c r="B20" s="1126" t="s">
        <v>3422</v>
      </c>
      <c r="C20" s="1127">
        <v>58675000</v>
      </c>
      <c r="D20" s="1127">
        <v>87376000</v>
      </c>
      <c r="E20" s="1127">
        <v>49886948.28</v>
      </c>
      <c r="F20" s="1127">
        <v>42001054</v>
      </c>
      <c r="IU20" s="392"/>
    </row>
    <row r="21" spans="1:255" ht="12.75">
      <c r="A21" s="1126" t="s">
        <v>3187</v>
      </c>
      <c r="B21" s="1126" t="s">
        <v>3423</v>
      </c>
      <c r="C21" s="1127">
        <v>1747000</v>
      </c>
      <c r="D21" s="1127">
        <v>782000</v>
      </c>
      <c r="E21" s="1127">
        <v>778801</v>
      </c>
      <c r="F21" s="1127">
        <v>3199</v>
      </c>
      <c r="IU21" s="392"/>
    </row>
    <row r="22" spans="1:255" ht="12.75">
      <c r="A22" s="1128" t="s">
        <v>3431</v>
      </c>
      <c r="B22" s="1128"/>
      <c r="C22" s="1129">
        <f>SUM(C20:C21)</f>
        <v>60422000</v>
      </c>
      <c r="D22" s="1129">
        <f>SUM(D20:D21)</f>
        <v>88158000</v>
      </c>
      <c r="E22" s="1129">
        <f>SUM(E20:E21)</f>
        <v>50665749.28</v>
      </c>
      <c r="F22" s="1129">
        <f>SUM(F20:F21)</f>
        <v>42004253</v>
      </c>
      <c r="IU22" s="392"/>
    </row>
    <row r="23" spans="1:255" ht="12.75">
      <c r="A23" s="1126" t="s">
        <v>3432</v>
      </c>
      <c r="B23" s="1126" t="s">
        <v>3422</v>
      </c>
      <c r="C23" s="1127">
        <v>103010000</v>
      </c>
      <c r="D23" s="1127">
        <v>74277000</v>
      </c>
      <c r="E23" s="1127">
        <v>48852343.48</v>
      </c>
      <c r="F23" s="1127">
        <v>26205000</v>
      </c>
      <c r="IU23" s="392"/>
    </row>
    <row r="24" spans="1:255" ht="12.75">
      <c r="A24" s="1126" t="s">
        <v>3188</v>
      </c>
      <c r="B24" s="1126" t="s">
        <v>3423</v>
      </c>
      <c r="C24" s="1127">
        <v>2025000</v>
      </c>
      <c r="D24" s="1127">
        <v>2355000</v>
      </c>
      <c r="E24" s="1127">
        <v>2331446.5</v>
      </c>
      <c r="F24" s="1127">
        <v>23000</v>
      </c>
      <c r="IU24" s="392"/>
    </row>
    <row r="25" spans="1:255" ht="12.75">
      <c r="A25" s="1128" t="s">
        <v>3433</v>
      </c>
      <c r="B25" s="1128"/>
      <c r="C25" s="1129">
        <f>SUM(C23:C24)</f>
        <v>105035000</v>
      </c>
      <c r="D25" s="1129">
        <f>SUM(D23:D24)</f>
        <v>76632000</v>
      </c>
      <c r="E25" s="1129">
        <f>SUM(E23:E24)</f>
        <v>51183789.98</v>
      </c>
      <c r="F25" s="1129">
        <f>SUM(F23:F24)</f>
        <v>26228000</v>
      </c>
      <c r="IU25" s="392"/>
    </row>
    <row r="26" spans="1:255" ht="12.75">
      <c r="A26" s="1126" t="s">
        <v>3189</v>
      </c>
      <c r="B26" s="1126" t="s">
        <v>3422</v>
      </c>
      <c r="C26" s="1127">
        <v>117473000</v>
      </c>
      <c r="D26" s="1127">
        <v>157375000</v>
      </c>
      <c r="E26" s="1127">
        <v>145322992.32</v>
      </c>
      <c r="F26" s="1127">
        <v>16825737.18</v>
      </c>
      <c r="IU26" s="392"/>
    </row>
    <row r="27" spans="1:255" ht="12.75">
      <c r="A27" s="1126" t="s">
        <v>3189</v>
      </c>
      <c r="B27" s="1126" t="s">
        <v>3423</v>
      </c>
      <c r="C27" s="1127">
        <v>0</v>
      </c>
      <c r="D27" s="1127">
        <v>212000</v>
      </c>
      <c r="E27" s="1127">
        <v>211106</v>
      </c>
      <c r="F27" s="1127">
        <v>894</v>
      </c>
      <c r="IU27" s="392"/>
    </row>
    <row r="28" spans="1:255" ht="12.75">
      <c r="A28" s="1128" t="s">
        <v>3434</v>
      </c>
      <c r="B28" s="1128"/>
      <c r="C28" s="1129">
        <f>SUM(C26:C27)</f>
        <v>117473000</v>
      </c>
      <c r="D28" s="1129">
        <f>SUM(D26:D27)</f>
        <v>157587000</v>
      </c>
      <c r="E28" s="1129">
        <f>SUM(E26:E27)</f>
        <v>145534098.32</v>
      </c>
      <c r="F28" s="1129">
        <f>SUM(F26:F27)</f>
        <v>16826631.18</v>
      </c>
      <c r="IU28" s="392"/>
    </row>
    <row r="29" spans="1:255" ht="12.75">
      <c r="A29" s="1126" t="s">
        <v>3190</v>
      </c>
      <c r="B29" s="1126" t="s">
        <v>3422</v>
      </c>
      <c r="C29" s="1127">
        <v>486776000</v>
      </c>
      <c r="D29" s="1127">
        <v>574949000</v>
      </c>
      <c r="E29" s="1127">
        <v>531287501.62</v>
      </c>
      <c r="F29" s="1127">
        <v>45241665.07</v>
      </c>
      <c r="IU29" s="392"/>
    </row>
    <row r="30" spans="1:255" ht="12.75">
      <c r="A30" s="1126" t="s">
        <v>3190</v>
      </c>
      <c r="B30" s="1126" t="s">
        <v>3423</v>
      </c>
      <c r="C30" s="1127">
        <v>10612000</v>
      </c>
      <c r="D30" s="1127">
        <v>20986000</v>
      </c>
      <c r="E30" s="1127">
        <v>14499736.59</v>
      </c>
      <c r="F30" s="1127">
        <v>6486254</v>
      </c>
      <c r="IU30" s="392"/>
    </row>
    <row r="31" spans="1:255" ht="12.75">
      <c r="A31" s="1128" t="s">
        <v>3435</v>
      </c>
      <c r="B31" s="1128"/>
      <c r="C31" s="1129">
        <f>SUM(C29:C30)</f>
        <v>497388000</v>
      </c>
      <c r="D31" s="1129">
        <f>SUM(D29:D30)</f>
        <v>595935000</v>
      </c>
      <c r="E31" s="1129">
        <f>SUM(E29:E30)</f>
        <v>545787238.21</v>
      </c>
      <c r="F31" s="1129">
        <f>SUM(F29:F30)</f>
        <v>51727919.07</v>
      </c>
      <c r="IU31" s="392"/>
    </row>
    <row r="32" spans="1:255" ht="12.75">
      <c r="A32" s="1126" t="s">
        <v>3436</v>
      </c>
      <c r="B32" s="1126" t="s">
        <v>3422</v>
      </c>
      <c r="C32" s="1127">
        <v>382930000</v>
      </c>
      <c r="D32" s="1127">
        <v>415681000</v>
      </c>
      <c r="E32" s="1127">
        <v>383760535.91</v>
      </c>
      <c r="F32" s="1127">
        <v>31917920</v>
      </c>
      <c r="IU32" s="392"/>
    </row>
    <row r="33" spans="1:255" ht="12.75">
      <c r="A33" s="1126" t="s">
        <v>3436</v>
      </c>
      <c r="B33" s="1126" t="s">
        <v>3423</v>
      </c>
      <c r="C33" s="1127">
        <v>0</v>
      </c>
      <c r="D33" s="1127">
        <v>2186000</v>
      </c>
      <c r="E33" s="1127">
        <v>176000</v>
      </c>
      <c r="F33" s="1127">
        <v>2010000</v>
      </c>
      <c r="IU33" s="392"/>
    </row>
    <row r="34" spans="1:255" ht="12.75">
      <c r="A34" s="1128" t="s">
        <v>3436</v>
      </c>
      <c r="B34" s="1128"/>
      <c r="C34" s="1129">
        <f>SUM(C32:C33)</f>
        <v>382930000</v>
      </c>
      <c r="D34" s="1129">
        <f>SUM(D32:D33)</f>
        <v>417867000</v>
      </c>
      <c r="E34" s="1129">
        <f>SUM(E32:E33)</f>
        <v>383936535.91</v>
      </c>
      <c r="F34" s="1129">
        <f>SUM(F32:F33)</f>
        <v>33927920</v>
      </c>
      <c r="IU34" s="392"/>
    </row>
    <row r="35" spans="1:255" ht="12.75">
      <c r="A35" s="1126" t="s">
        <v>3437</v>
      </c>
      <c r="B35" s="1126" t="s">
        <v>3422</v>
      </c>
      <c r="C35" s="1127">
        <v>24208000</v>
      </c>
      <c r="D35" s="1127">
        <v>0</v>
      </c>
      <c r="E35" s="1127">
        <v>0</v>
      </c>
      <c r="F35" s="1127">
        <v>0</v>
      </c>
      <c r="IU35" s="392"/>
    </row>
    <row r="36" spans="1:255" ht="12.75">
      <c r="A36" s="1126" t="s">
        <v>3437</v>
      </c>
      <c r="B36" s="1126" t="s">
        <v>3423</v>
      </c>
      <c r="C36" s="1127">
        <v>888000</v>
      </c>
      <c r="D36" s="1127">
        <v>0</v>
      </c>
      <c r="E36" s="1127">
        <v>0</v>
      </c>
      <c r="F36" s="1127">
        <v>0</v>
      </c>
      <c r="IU36" s="392"/>
    </row>
    <row r="37" spans="1:255" ht="13.5" thickBot="1">
      <c r="A37" s="1130" t="s">
        <v>3438</v>
      </c>
      <c r="B37" s="1130"/>
      <c r="C37" s="1131">
        <f>SUM(C35:C36)</f>
        <v>25096000</v>
      </c>
      <c r="D37" s="1131">
        <f>SUM(D35:D36)</f>
        <v>0</v>
      </c>
      <c r="E37" s="1131">
        <f>SUM(E35:E36)</f>
        <v>0</v>
      </c>
      <c r="F37" s="1131">
        <f>SUM(F35:F36)</f>
        <v>0</v>
      </c>
      <c r="IU37" s="392"/>
    </row>
    <row r="38" spans="1:255" ht="13.5" thickTop="1">
      <c r="A38" s="1132" t="s">
        <v>3439</v>
      </c>
      <c r="B38" s="1133" t="s">
        <v>3422</v>
      </c>
      <c r="C38" s="1134">
        <f aca="true" t="shared" si="0" ref="C38:F39">SUM(C5,C8,C11,C14,C17,C20,C23,C26,C29,C32,C35,)</f>
        <v>1613604000</v>
      </c>
      <c r="D38" s="1134">
        <f t="shared" si="0"/>
        <v>1660661000</v>
      </c>
      <c r="E38" s="1134">
        <f t="shared" si="0"/>
        <v>1350081030.68</v>
      </c>
      <c r="F38" s="1135">
        <f t="shared" si="0"/>
        <v>325273660.45</v>
      </c>
      <c r="IU38" s="392"/>
    </row>
    <row r="39" spans="1:255" ht="12.75">
      <c r="A39" s="1136" t="s">
        <v>3439</v>
      </c>
      <c r="B39" s="1126" t="s">
        <v>3423</v>
      </c>
      <c r="C39" s="1127">
        <f t="shared" si="0"/>
        <v>22902000</v>
      </c>
      <c r="D39" s="1127">
        <f t="shared" si="0"/>
        <v>59309000</v>
      </c>
      <c r="E39" s="1127">
        <f t="shared" si="0"/>
        <v>31530124.43</v>
      </c>
      <c r="F39" s="1137">
        <f t="shared" si="0"/>
        <v>27761133.75</v>
      </c>
      <c r="IU39" s="392"/>
    </row>
    <row r="40" spans="1:255" ht="13.5" thickBot="1">
      <c r="A40" s="1138" t="s">
        <v>3138</v>
      </c>
      <c r="B40" s="1139"/>
      <c r="C40" s="1140">
        <f>SUM(C38:C39)</f>
        <v>1636506000</v>
      </c>
      <c r="D40" s="1140">
        <f>SUM(D38:D39)</f>
        <v>1719970000</v>
      </c>
      <c r="E40" s="1140">
        <f>SUM(E38:E39)</f>
        <v>1381611155.1100001</v>
      </c>
      <c r="F40" s="1141">
        <f>SUM(F38:F39)</f>
        <v>353034794.2</v>
      </c>
      <c r="IU40" s="392"/>
    </row>
    <row r="41" spans="1:255" ht="13.5" thickTop="1">
      <c r="A41" s="1124" t="s">
        <v>2643</v>
      </c>
      <c r="B41" s="1124" t="s">
        <v>3422</v>
      </c>
      <c r="C41" s="1125">
        <v>680446000</v>
      </c>
      <c r="D41" s="1125">
        <v>1190575000</v>
      </c>
      <c r="E41" s="1125">
        <v>973074611.19</v>
      </c>
      <c r="F41" s="1125">
        <v>217500388.81</v>
      </c>
      <c r="IU41" s="392"/>
    </row>
    <row r="42" spans="1:255" ht="12.75">
      <c r="A42" s="1126" t="s">
        <v>2643</v>
      </c>
      <c r="B42" s="1126" t="s">
        <v>3423</v>
      </c>
      <c r="C42" s="1127">
        <v>104330000</v>
      </c>
      <c r="D42" s="1127">
        <v>169396000</v>
      </c>
      <c r="E42" s="1127">
        <v>120967173.63</v>
      </c>
      <c r="F42" s="1127">
        <v>48428826.37</v>
      </c>
      <c r="IU42" s="392"/>
    </row>
    <row r="43" spans="1:255" ht="12.75">
      <c r="A43" s="1128" t="s">
        <v>3440</v>
      </c>
      <c r="B43" s="1128"/>
      <c r="C43" s="1129">
        <f>SUM(C41:C42)</f>
        <v>784776000</v>
      </c>
      <c r="D43" s="1129">
        <f>SUM(D41:D42)</f>
        <v>1359971000</v>
      </c>
      <c r="E43" s="1129">
        <f>SUM(E41:E42)</f>
        <v>1094041784.8200002</v>
      </c>
      <c r="F43" s="1129">
        <f>SUM(F41:F42)</f>
        <v>265929215.18</v>
      </c>
      <c r="IU43" s="392"/>
    </row>
    <row r="44" spans="1:255" ht="12.75">
      <c r="A44" s="1126" t="s">
        <v>2644</v>
      </c>
      <c r="B44" s="1126" t="s">
        <v>3422</v>
      </c>
      <c r="C44" s="1127">
        <v>4205000</v>
      </c>
      <c r="D44" s="1127">
        <f>16107000-9500000</f>
        <v>6607000</v>
      </c>
      <c r="E44" s="1127">
        <f>16102585.55-9498213.7</f>
        <v>6604371.8500000015</v>
      </c>
      <c r="F44" s="1127">
        <v>0</v>
      </c>
      <c r="IU44" s="392"/>
    </row>
    <row r="45" spans="1:255" ht="12.75">
      <c r="A45" s="1126" t="s">
        <v>2644</v>
      </c>
      <c r="B45" s="1126" t="s">
        <v>3423</v>
      </c>
      <c r="C45" s="1127">
        <v>0</v>
      </c>
      <c r="D45" s="1127">
        <v>36000</v>
      </c>
      <c r="E45" s="1127">
        <v>35557</v>
      </c>
      <c r="F45" s="1127">
        <v>0</v>
      </c>
      <c r="IU45" s="392"/>
    </row>
    <row r="46" spans="1:255" ht="12.75">
      <c r="A46" s="1128" t="s">
        <v>3441</v>
      </c>
      <c r="B46" s="1128"/>
      <c r="C46" s="1129">
        <f>SUM(C44:C45)</f>
        <v>4205000</v>
      </c>
      <c r="D46" s="1129">
        <f>SUM(D44:D45)</f>
        <v>6643000</v>
      </c>
      <c r="E46" s="1129">
        <f>SUM(E44:E45)</f>
        <v>6639928.8500000015</v>
      </c>
      <c r="F46" s="1129">
        <f>SUM(F44:F45)</f>
        <v>0</v>
      </c>
      <c r="IU46" s="392"/>
    </row>
    <row r="47" spans="1:255" ht="12.75">
      <c r="A47" s="1126" t="s">
        <v>2645</v>
      </c>
      <c r="B47" s="1126" t="s">
        <v>3422</v>
      </c>
      <c r="C47" s="1127">
        <v>153954000</v>
      </c>
      <c r="D47" s="1127">
        <v>216656000</v>
      </c>
      <c r="E47" s="1127">
        <v>161526012.58</v>
      </c>
      <c r="F47" s="1127">
        <v>55705574.52</v>
      </c>
      <c r="IU47" s="392"/>
    </row>
    <row r="48" spans="1:255" ht="12.75">
      <c r="A48" s="1126" t="s">
        <v>2645</v>
      </c>
      <c r="B48" s="1126" t="s">
        <v>3423</v>
      </c>
      <c r="C48" s="1127">
        <v>491000</v>
      </c>
      <c r="D48" s="1127">
        <v>1019000</v>
      </c>
      <c r="E48" s="1127">
        <v>1017395</v>
      </c>
      <c r="F48" s="1127">
        <v>1605</v>
      </c>
      <c r="IU48" s="392"/>
    </row>
    <row r="49" spans="1:255" ht="13.5" thickBot="1">
      <c r="A49" s="1130" t="s">
        <v>3442</v>
      </c>
      <c r="B49" s="1130"/>
      <c r="C49" s="1131">
        <f>SUM(C47:C48)</f>
        <v>154445000</v>
      </c>
      <c r="D49" s="1131">
        <f>SUM(D47:D48)</f>
        <v>217675000</v>
      </c>
      <c r="E49" s="1131">
        <f>SUM(E47:E48)</f>
        <v>162543407.58</v>
      </c>
      <c r="F49" s="1131">
        <f>SUM(F47:F48)</f>
        <v>55707179.52</v>
      </c>
      <c r="IU49" s="392"/>
    </row>
    <row r="50" spans="1:255" ht="13.5" thickTop="1">
      <c r="A50" s="1132" t="s">
        <v>3142</v>
      </c>
      <c r="B50" s="1133" t="s">
        <v>3422</v>
      </c>
      <c r="C50" s="1134">
        <f aca="true" t="shared" si="1" ref="C50:F51">SUM(C38,C41,C44,C47)</f>
        <v>2452209000</v>
      </c>
      <c r="D50" s="1134">
        <f t="shared" si="1"/>
        <v>3074499000</v>
      </c>
      <c r="E50" s="1134">
        <f t="shared" si="1"/>
        <v>2491286026.2999997</v>
      </c>
      <c r="F50" s="1135">
        <f t="shared" si="1"/>
        <v>598479623.78</v>
      </c>
      <c r="IU50" s="392"/>
    </row>
    <row r="51" spans="1:255" ht="12.75">
      <c r="A51" s="1136" t="s">
        <v>3142</v>
      </c>
      <c r="B51" s="1126" t="s">
        <v>3423</v>
      </c>
      <c r="C51" s="1127">
        <f t="shared" si="1"/>
        <v>127723000</v>
      </c>
      <c r="D51" s="1127">
        <f t="shared" si="1"/>
        <v>229760000</v>
      </c>
      <c r="E51" s="1127">
        <f t="shared" si="1"/>
        <v>153550250.06</v>
      </c>
      <c r="F51" s="1137">
        <f t="shared" si="1"/>
        <v>76191565.12</v>
      </c>
      <c r="IU51" s="392"/>
    </row>
    <row r="52" spans="1:255" ht="13.5" thickBot="1">
      <c r="A52" s="1138" t="s">
        <v>3142</v>
      </c>
      <c r="B52" s="1139"/>
      <c r="C52" s="1140">
        <f>SUM(C50:C51)</f>
        <v>2579932000</v>
      </c>
      <c r="D52" s="1140">
        <f>SUM(D50:D51)</f>
        <v>3304259000</v>
      </c>
      <c r="E52" s="1140">
        <f>SUM(E50:E51)</f>
        <v>2644836276.3599997</v>
      </c>
      <c r="F52" s="1141">
        <f>SUM(F50:F51)</f>
        <v>674671188.9</v>
      </c>
      <c r="IU52" s="392"/>
    </row>
    <row r="53" spans="1:255" ht="13.5" thickTop="1">
      <c r="A53" s="1124" t="s">
        <v>2647</v>
      </c>
      <c r="B53" s="1124" t="s">
        <v>3422</v>
      </c>
      <c r="C53" s="1125">
        <v>13451000</v>
      </c>
      <c r="D53" s="1125">
        <v>16212000</v>
      </c>
      <c r="E53" s="1125">
        <v>16107574.5</v>
      </c>
      <c r="F53" s="1125">
        <v>104425.5</v>
      </c>
      <c r="IU53" s="392"/>
    </row>
    <row r="54" spans="1:255" ht="12.75">
      <c r="A54" s="1126" t="s">
        <v>2647</v>
      </c>
      <c r="B54" s="1126" t="s">
        <v>3423</v>
      </c>
      <c r="C54" s="1127">
        <v>0</v>
      </c>
      <c r="D54" s="1127">
        <v>50000</v>
      </c>
      <c r="E54" s="1127">
        <v>46983.6</v>
      </c>
      <c r="F54" s="1127">
        <v>0</v>
      </c>
      <c r="IU54" s="392"/>
    </row>
    <row r="55" spans="1:255" ht="12.75">
      <c r="A55" s="1128" t="s">
        <v>3443</v>
      </c>
      <c r="B55" s="1128"/>
      <c r="C55" s="1129">
        <f>SUM(C53:C54)</f>
        <v>13451000</v>
      </c>
      <c r="D55" s="1129">
        <f>SUM(D53:D54)</f>
        <v>16262000</v>
      </c>
      <c r="E55" s="1129">
        <f>SUM(E53:E54)</f>
        <v>16154558.1</v>
      </c>
      <c r="F55" s="1129">
        <f>SUM(F53:F54)</f>
        <v>104425.5</v>
      </c>
      <c r="IU55" s="392"/>
    </row>
    <row r="56" spans="1:255" ht="12.75">
      <c r="A56" s="1126" t="s">
        <v>2648</v>
      </c>
      <c r="B56" s="1126" t="s">
        <v>3422</v>
      </c>
      <c r="C56" s="1127">
        <v>4805000</v>
      </c>
      <c r="D56" s="1127">
        <v>4442000</v>
      </c>
      <c r="E56" s="1127">
        <v>4394185.8</v>
      </c>
      <c r="F56" s="1127">
        <v>46302.4</v>
      </c>
      <c r="IU56" s="392"/>
    </row>
    <row r="57" spans="1:255" ht="12.75">
      <c r="A57" s="1126" t="s">
        <v>2648</v>
      </c>
      <c r="B57" s="1126" t="s">
        <v>3423</v>
      </c>
      <c r="C57" s="1127">
        <v>820000</v>
      </c>
      <c r="D57" s="1127">
        <v>883000</v>
      </c>
      <c r="E57" s="1127">
        <v>700380.5</v>
      </c>
      <c r="F57" s="1127">
        <v>180000</v>
      </c>
      <c r="IU57" s="392"/>
    </row>
    <row r="58" spans="1:255" ht="12.75">
      <c r="A58" s="1128" t="s">
        <v>3444</v>
      </c>
      <c r="B58" s="1128"/>
      <c r="C58" s="1129">
        <f>SUM(C56:C57)</f>
        <v>5625000</v>
      </c>
      <c r="D58" s="1129">
        <f>SUM(D56:D57)</f>
        <v>5325000</v>
      </c>
      <c r="E58" s="1129">
        <f>SUM(E56:E57)</f>
        <v>5094566.3</v>
      </c>
      <c r="F58" s="1129">
        <f>SUM(F56:F57)</f>
        <v>226302.4</v>
      </c>
      <c r="IU58" s="392"/>
    </row>
    <row r="59" spans="1:255" ht="12.75">
      <c r="A59" s="1126" t="s">
        <v>2649</v>
      </c>
      <c r="B59" s="1126" t="s">
        <v>3422</v>
      </c>
      <c r="C59" s="1127">
        <v>2420000</v>
      </c>
      <c r="D59" s="1127">
        <v>1970000</v>
      </c>
      <c r="E59" s="1127">
        <v>1947954</v>
      </c>
      <c r="F59" s="1127">
        <v>22046</v>
      </c>
      <c r="IU59" s="392"/>
    </row>
    <row r="60" spans="1:255" ht="12.75">
      <c r="A60" s="1126" t="s">
        <v>2649</v>
      </c>
      <c r="B60" s="1126" t="s">
        <v>3423</v>
      </c>
      <c r="C60" s="1127">
        <v>405000</v>
      </c>
      <c r="D60" s="1127">
        <v>855000</v>
      </c>
      <c r="E60" s="1127">
        <v>732042</v>
      </c>
      <c r="F60" s="1127">
        <v>122958</v>
      </c>
      <c r="IU60" s="392"/>
    </row>
    <row r="61" spans="1:255" ht="12.75">
      <c r="A61" s="1128" t="s">
        <v>3445</v>
      </c>
      <c r="B61" s="1128"/>
      <c r="C61" s="1129">
        <f>SUM(C59:C60)</f>
        <v>2825000</v>
      </c>
      <c r="D61" s="1129">
        <f>SUM(D59:D60)</f>
        <v>2825000</v>
      </c>
      <c r="E61" s="1129">
        <f>SUM(E59:E60)</f>
        <v>2679996</v>
      </c>
      <c r="F61" s="1129">
        <f>SUM(F59:F60)</f>
        <v>145004</v>
      </c>
      <c r="IU61" s="392"/>
    </row>
    <row r="62" spans="1:255" ht="12.75">
      <c r="A62" s="1126" t="s">
        <v>2650</v>
      </c>
      <c r="B62" s="1126" t="s">
        <v>3422</v>
      </c>
      <c r="C62" s="1127">
        <v>2685000</v>
      </c>
      <c r="D62" s="1127">
        <v>3420000</v>
      </c>
      <c r="E62" s="1127">
        <v>3353572.49</v>
      </c>
      <c r="F62" s="1127">
        <v>66427</v>
      </c>
      <c r="IU62" s="392"/>
    </row>
    <row r="63" spans="1:255" ht="12.75">
      <c r="A63" s="1126" t="s">
        <v>2650</v>
      </c>
      <c r="B63" s="1126" t="s">
        <v>3423</v>
      </c>
      <c r="C63" s="1127">
        <v>485000</v>
      </c>
      <c r="D63" s="1127">
        <v>150000</v>
      </c>
      <c r="E63" s="1127">
        <v>149100</v>
      </c>
      <c r="F63" s="1127">
        <v>900</v>
      </c>
      <c r="IU63" s="392"/>
    </row>
    <row r="64" spans="1:255" ht="12.75">
      <c r="A64" s="1128" t="s">
        <v>3446</v>
      </c>
      <c r="B64" s="1128"/>
      <c r="C64" s="1129">
        <f>SUM(C62:C63)</f>
        <v>3170000</v>
      </c>
      <c r="D64" s="1129">
        <f>SUM(D62:D63)</f>
        <v>3570000</v>
      </c>
      <c r="E64" s="1129">
        <f>SUM(E62:E63)</f>
        <v>3502672.49</v>
      </c>
      <c r="F64" s="1129">
        <f>SUM(F62:F63)</f>
        <v>67327</v>
      </c>
      <c r="IU64" s="392"/>
    </row>
    <row r="65" spans="1:255" ht="12.75">
      <c r="A65" s="1126" t="s">
        <v>2651</v>
      </c>
      <c r="B65" s="1126" t="s">
        <v>3422</v>
      </c>
      <c r="C65" s="1127">
        <v>20510000</v>
      </c>
      <c r="D65" s="1127">
        <v>23432000</v>
      </c>
      <c r="E65" s="1127">
        <v>16160383.62</v>
      </c>
      <c r="F65" s="1127">
        <v>7254367.18</v>
      </c>
      <c r="IU65" s="392"/>
    </row>
    <row r="66" spans="1:255" ht="12.75">
      <c r="A66" s="1126" t="s">
        <v>2651</v>
      </c>
      <c r="B66" s="1126" t="s">
        <v>3423</v>
      </c>
      <c r="C66" s="1127">
        <v>360000</v>
      </c>
      <c r="D66" s="1127">
        <v>626000</v>
      </c>
      <c r="E66" s="1127">
        <v>624401.52</v>
      </c>
      <c r="F66" s="1127">
        <v>0</v>
      </c>
      <c r="IU66" s="392"/>
    </row>
    <row r="67" spans="1:255" ht="12.75">
      <c r="A67" s="1128" t="s">
        <v>3447</v>
      </c>
      <c r="B67" s="1128"/>
      <c r="C67" s="1129">
        <f>SUM(C65:C66)</f>
        <v>20870000</v>
      </c>
      <c r="D67" s="1129">
        <f>SUM(D65:D66)</f>
        <v>24058000</v>
      </c>
      <c r="E67" s="1129">
        <f>SUM(E65:E66)</f>
        <v>16784785.14</v>
      </c>
      <c r="F67" s="1129">
        <f>SUM(F65:F66)</f>
        <v>7254367.18</v>
      </c>
      <c r="IU67" s="392"/>
    </row>
    <row r="68" spans="1:255" ht="12.75">
      <c r="A68" s="1126" t="s">
        <v>2652</v>
      </c>
      <c r="B68" s="1126" t="s">
        <v>3422</v>
      </c>
      <c r="C68" s="1127">
        <v>3322000</v>
      </c>
      <c r="D68" s="1127">
        <v>3258000</v>
      </c>
      <c r="E68" s="1127">
        <v>3166770.25</v>
      </c>
      <c r="F68" s="1127">
        <v>87000</v>
      </c>
      <c r="IU68" s="392"/>
    </row>
    <row r="69" spans="1:255" ht="12.75">
      <c r="A69" s="1126" t="s">
        <v>2652</v>
      </c>
      <c r="B69" s="1126" t="s">
        <v>3423</v>
      </c>
      <c r="C69" s="1127">
        <v>350000</v>
      </c>
      <c r="D69" s="1127">
        <v>414000</v>
      </c>
      <c r="E69" s="1127">
        <v>413553</v>
      </c>
      <c r="F69" s="1127">
        <v>0</v>
      </c>
      <c r="IU69" s="392"/>
    </row>
    <row r="70" spans="1:255" ht="12.75">
      <c r="A70" s="1128" t="s">
        <v>3448</v>
      </c>
      <c r="B70" s="1128"/>
      <c r="C70" s="1129">
        <f>SUM(C68:C69)</f>
        <v>3672000</v>
      </c>
      <c r="D70" s="1129">
        <f>SUM(D68:D69)</f>
        <v>3672000</v>
      </c>
      <c r="E70" s="1129">
        <f>SUM(E68:E69)</f>
        <v>3580323.25</v>
      </c>
      <c r="F70" s="1129">
        <f>SUM(F68:F69)</f>
        <v>87000</v>
      </c>
      <c r="IU70" s="392"/>
    </row>
    <row r="71" spans="1:255" ht="12.75">
      <c r="A71" s="1126" t="s">
        <v>2653</v>
      </c>
      <c r="B71" s="1126" t="s">
        <v>3422</v>
      </c>
      <c r="C71" s="1127">
        <v>20944000</v>
      </c>
      <c r="D71" s="1127">
        <v>65700000</v>
      </c>
      <c r="E71" s="1127">
        <v>64779592</v>
      </c>
      <c r="F71" s="1127">
        <v>920408</v>
      </c>
      <c r="IU71" s="392"/>
    </row>
    <row r="72" spans="1:255" ht="12.75">
      <c r="A72" s="1126" t="s">
        <v>2653</v>
      </c>
      <c r="B72" s="1126" t="s">
        <v>3423</v>
      </c>
      <c r="C72" s="1127">
        <v>500000</v>
      </c>
      <c r="D72" s="1127">
        <v>197000</v>
      </c>
      <c r="E72" s="1127">
        <v>197000</v>
      </c>
      <c r="F72" s="1127">
        <v>0</v>
      </c>
      <c r="IU72" s="392"/>
    </row>
    <row r="73" spans="1:255" ht="12.75">
      <c r="A73" s="1128" t="s">
        <v>3449</v>
      </c>
      <c r="B73" s="1128"/>
      <c r="C73" s="1129">
        <f>SUM(C71:C72)</f>
        <v>21444000</v>
      </c>
      <c r="D73" s="1129">
        <f>SUM(D71:D72)</f>
        <v>65897000</v>
      </c>
      <c r="E73" s="1129">
        <f>SUM(E71:E72)</f>
        <v>64976592</v>
      </c>
      <c r="F73" s="1129">
        <f>SUM(F71:F72)</f>
        <v>920408</v>
      </c>
      <c r="IU73" s="392"/>
    </row>
    <row r="74" spans="1:255" ht="12.75">
      <c r="A74" s="1126" t="s">
        <v>2699</v>
      </c>
      <c r="B74" s="1126" t="s">
        <v>3422</v>
      </c>
      <c r="C74" s="1127">
        <v>14157000</v>
      </c>
      <c r="D74" s="1127">
        <v>14157000</v>
      </c>
      <c r="E74" s="1127">
        <v>14098715.77</v>
      </c>
      <c r="F74" s="1127">
        <v>58284.23</v>
      </c>
      <c r="IU74" s="392"/>
    </row>
    <row r="75" spans="1:255" ht="12.75">
      <c r="A75" s="1126" t="s">
        <v>2699</v>
      </c>
      <c r="B75" s="1126" t="s">
        <v>3423</v>
      </c>
      <c r="C75" s="1127">
        <v>360000</v>
      </c>
      <c r="D75" s="1127">
        <v>360000</v>
      </c>
      <c r="E75" s="1127">
        <v>323918.5</v>
      </c>
      <c r="F75" s="1127">
        <v>36081.5</v>
      </c>
      <c r="IU75" s="392"/>
    </row>
    <row r="76" spans="1:255" ht="13.5" thickBot="1">
      <c r="A76" s="1130" t="s">
        <v>3450</v>
      </c>
      <c r="B76" s="1130"/>
      <c r="C76" s="1131">
        <f>SUM(C74:C75)</f>
        <v>14517000</v>
      </c>
      <c r="D76" s="1131">
        <f>SUM(D74:D75)</f>
        <v>14517000</v>
      </c>
      <c r="E76" s="1131">
        <f>SUM(E74:E75)</f>
        <v>14422634.27</v>
      </c>
      <c r="F76" s="1131">
        <f>SUM(F74:F75)</f>
        <v>94365.73000000001</v>
      </c>
      <c r="IU76" s="392"/>
    </row>
    <row r="77" spans="1:255" ht="13.5" thickTop="1">
      <c r="A77" s="1132" t="s">
        <v>3451</v>
      </c>
      <c r="B77" s="1133" t="s">
        <v>3422</v>
      </c>
      <c r="C77" s="1134">
        <f aca="true" t="shared" si="2" ref="C77:F78">SUM(C53,C56,C59,C62,C65,C68,C71,C74)</f>
        <v>82294000</v>
      </c>
      <c r="D77" s="1134">
        <f t="shared" si="2"/>
        <v>132591000</v>
      </c>
      <c r="E77" s="1134">
        <f t="shared" si="2"/>
        <v>124008748.42999999</v>
      </c>
      <c r="F77" s="1135">
        <f t="shared" si="2"/>
        <v>8559260.31</v>
      </c>
      <c r="IU77" s="392"/>
    </row>
    <row r="78" spans="1:255" ht="12.75">
      <c r="A78" s="1136" t="s">
        <v>3451</v>
      </c>
      <c r="B78" s="1126" t="s">
        <v>3423</v>
      </c>
      <c r="C78" s="1127">
        <f t="shared" si="2"/>
        <v>3280000</v>
      </c>
      <c r="D78" s="1127">
        <f t="shared" si="2"/>
        <v>3535000</v>
      </c>
      <c r="E78" s="1127">
        <f t="shared" si="2"/>
        <v>3187379.12</v>
      </c>
      <c r="F78" s="1137">
        <f t="shared" si="2"/>
        <v>339939.5</v>
      </c>
      <c r="IU78" s="392"/>
    </row>
    <row r="79" spans="1:255" ht="13.5" thickBot="1">
      <c r="A79" s="1138" t="s">
        <v>3451</v>
      </c>
      <c r="B79" s="1139"/>
      <c r="C79" s="1140">
        <f>SUM(C77:C78)</f>
        <v>85574000</v>
      </c>
      <c r="D79" s="1140">
        <f>SUM(D77:D78)</f>
        <v>136126000</v>
      </c>
      <c r="E79" s="1140">
        <f>SUM(E77:E78)</f>
        <v>127196127.55</v>
      </c>
      <c r="F79" s="1141">
        <f>SUM(F77:F78)</f>
        <v>8899199.81</v>
      </c>
      <c r="IU79" s="392"/>
    </row>
    <row r="80" spans="1:255" ht="13.5" thickTop="1">
      <c r="A80" s="1124" t="s">
        <v>3452</v>
      </c>
      <c r="B80" s="1124" t="s">
        <v>3422</v>
      </c>
      <c r="C80" s="1125">
        <v>7800000</v>
      </c>
      <c r="D80" s="1125">
        <v>7757000</v>
      </c>
      <c r="E80" s="1125">
        <v>7717214.2</v>
      </c>
      <c r="F80" s="1125">
        <v>39500</v>
      </c>
      <c r="IU80" s="392"/>
    </row>
    <row r="81" spans="1:255" ht="12.75">
      <c r="A81" s="1126" t="s">
        <v>3452</v>
      </c>
      <c r="B81" s="1126" t="s">
        <v>3423</v>
      </c>
      <c r="C81" s="1127">
        <v>0</v>
      </c>
      <c r="D81" s="1127">
        <v>43000</v>
      </c>
      <c r="E81" s="1127">
        <v>42840</v>
      </c>
      <c r="F81" s="1127">
        <v>0</v>
      </c>
      <c r="IU81" s="392"/>
    </row>
    <row r="82" spans="1:255" ht="12.75">
      <c r="A82" s="1128" t="s">
        <v>3453</v>
      </c>
      <c r="B82" s="1128"/>
      <c r="C82" s="1129">
        <f>SUM(C80:C81)</f>
        <v>7800000</v>
      </c>
      <c r="D82" s="1129">
        <f>SUM(D80:D81)</f>
        <v>7800000</v>
      </c>
      <c r="E82" s="1129">
        <f>SUM(E80:E81)</f>
        <v>7760054.2</v>
      </c>
      <c r="F82" s="1129">
        <f>SUM(F80:F81)</f>
        <v>39500</v>
      </c>
      <c r="IU82" s="392"/>
    </row>
    <row r="83" spans="1:255" ht="12.75">
      <c r="A83" s="1126" t="s">
        <v>3454</v>
      </c>
      <c r="B83" s="1126" t="s">
        <v>3422</v>
      </c>
      <c r="C83" s="1127">
        <v>12340000</v>
      </c>
      <c r="D83" s="1127">
        <v>12347000</v>
      </c>
      <c r="E83" s="1127">
        <v>12287367.3</v>
      </c>
      <c r="F83" s="1127">
        <v>59632.7</v>
      </c>
      <c r="IU83" s="392"/>
    </row>
    <row r="84" spans="1:255" ht="12.75">
      <c r="A84" s="1126" t="s">
        <v>3454</v>
      </c>
      <c r="B84" s="1126" t="s">
        <v>3423</v>
      </c>
      <c r="C84" s="1127">
        <v>0</v>
      </c>
      <c r="D84" s="1127">
        <v>0</v>
      </c>
      <c r="E84" s="1127">
        <v>0</v>
      </c>
      <c r="F84" s="1127">
        <v>0</v>
      </c>
      <c r="IU84" s="392"/>
    </row>
    <row r="85" spans="1:255" ht="12.75">
      <c r="A85" s="1128" t="s">
        <v>3454</v>
      </c>
      <c r="B85" s="1128"/>
      <c r="C85" s="1129">
        <f>SUM(C83:C84)</f>
        <v>12340000</v>
      </c>
      <c r="D85" s="1129">
        <f>SUM(D83:D84)</f>
        <v>12347000</v>
      </c>
      <c r="E85" s="1129">
        <f>SUM(E83:E84)</f>
        <v>12287367.3</v>
      </c>
      <c r="F85" s="1129">
        <f>SUM(F83:F84)</f>
        <v>59632.7</v>
      </c>
      <c r="IU85" s="392"/>
    </row>
    <row r="86" spans="1:255" ht="12.75">
      <c r="A86" s="1126" t="s">
        <v>3455</v>
      </c>
      <c r="B86" s="1126" t="s">
        <v>3422</v>
      </c>
      <c r="C86" s="1127">
        <v>17029000</v>
      </c>
      <c r="D86" s="1127">
        <v>10394000</v>
      </c>
      <c r="E86" s="1127">
        <v>10389412.08</v>
      </c>
      <c r="F86" s="1127">
        <v>0</v>
      </c>
      <c r="IU86" s="392"/>
    </row>
    <row r="87" spans="1:255" ht="12.75">
      <c r="A87" s="1126" t="s">
        <v>3455</v>
      </c>
      <c r="B87" s="1126" t="s">
        <v>3423</v>
      </c>
      <c r="C87" s="1127">
        <v>0</v>
      </c>
      <c r="D87" s="1127">
        <v>0</v>
      </c>
      <c r="E87" s="1127">
        <v>0</v>
      </c>
      <c r="F87" s="1127">
        <v>0</v>
      </c>
      <c r="IU87" s="392"/>
    </row>
    <row r="88" spans="1:255" ht="12.75">
      <c r="A88" s="1128" t="s">
        <v>3455</v>
      </c>
      <c r="B88" s="1128"/>
      <c r="C88" s="1129">
        <f>SUM(C86:C87)</f>
        <v>17029000</v>
      </c>
      <c r="D88" s="1129">
        <f>SUM(D86:D87)</f>
        <v>10394000</v>
      </c>
      <c r="E88" s="1129">
        <f>SUM(E86:E87)</f>
        <v>10389412.08</v>
      </c>
      <c r="F88" s="1129">
        <f>SUM(F86:F87)</f>
        <v>0</v>
      </c>
      <c r="IU88" s="392"/>
    </row>
    <row r="89" spans="1:255" ht="12.75">
      <c r="A89" s="1126" t="s">
        <v>3456</v>
      </c>
      <c r="B89" s="1126" t="s">
        <v>3422</v>
      </c>
      <c r="C89" s="1127">
        <v>5700000</v>
      </c>
      <c r="D89" s="1127">
        <v>5700000</v>
      </c>
      <c r="E89" s="1127">
        <v>4556616.6</v>
      </c>
      <c r="F89" s="1127">
        <v>1142000</v>
      </c>
      <c r="IU89" s="392"/>
    </row>
    <row r="90" spans="1:255" ht="12.75">
      <c r="A90" s="1126" t="s">
        <v>3456</v>
      </c>
      <c r="B90" s="1126" t="s">
        <v>3423</v>
      </c>
      <c r="C90" s="1127">
        <v>0</v>
      </c>
      <c r="D90" s="1127">
        <v>0</v>
      </c>
      <c r="E90" s="1127">
        <v>0</v>
      </c>
      <c r="F90" s="1127">
        <v>0</v>
      </c>
      <c r="IU90" s="392"/>
    </row>
    <row r="91" spans="1:255" ht="12.75">
      <c r="A91" s="1128" t="s">
        <v>3456</v>
      </c>
      <c r="B91" s="1128"/>
      <c r="C91" s="1129">
        <f>SUM(C89:C90)</f>
        <v>5700000</v>
      </c>
      <c r="D91" s="1129">
        <f>SUM(D89:D90)</f>
        <v>5700000</v>
      </c>
      <c r="E91" s="1129">
        <f>SUM(E89:E90)</f>
        <v>4556616.6</v>
      </c>
      <c r="F91" s="1129">
        <f>SUM(F89:F90)</f>
        <v>1142000</v>
      </c>
      <c r="IU91" s="392"/>
    </row>
    <row r="92" spans="1:255" ht="12.75">
      <c r="A92" s="1126" t="s">
        <v>3457</v>
      </c>
      <c r="B92" s="1126" t="s">
        <v>3422</v>
      </c>
      <c r="C92" s="1127">
        <v>23770000</v>
      </c>
      <c r="D92" s="1127">
        <v>23563000</v>
      </c>
      <c r="E92" s="1127">
        <v>23528652.92</v>
      </c>
      <c r="F92" s="1127">
        <v>34347</v>
      </c>
      <c r="IU92" s="392"/>
    </row>
    <row r="93" spans="1:255" ht="12.75">
      <c r="A93" s="1126" t="s">
        <v>3457</v>
      </c>
      <c r="B93" s="1126" t="s">
        <v>3423</v>
      </c>
      <c r="C93" s="1127">
        <v>90000</v>
      </c>
      <c r="D93" s="1127">
        <v>297000</v>
      </c>
      <c r="E93" s="1127">
        <v>296760</v>
      </c>
      <c r="F93" s="1127">
        <v>240</v>
      </c>
      <c r="IU93" s="392"/>
    </row>
    <row r="94" spans="1:255" ht="12.75">
      <c r="A94" s="1128" t="s">
        <v>3457</v>
      </c>
      <c r="B94" s="1128"/>
      <c r="C94" s="1129">
        <f>SUM(C92:C93)</f>
        <v>23860000</v>
      </c>
      <c r="D94" s="1129">
        <f>SUM(D92:D93)</f>
        <v>23860000</v>
      </c>
      <c r="E94" s="1129">
        <f>SUM(E92:E93)</f>
        <v>23825412.92</v>
      </c>
      <c r="F94" s="1129">
        <f>SUM(F92:F93)</f>
        <v>34587</v>
      </c>
      <c r="IU94" s="392"/>
    </row>
    <row r="95" spans="1:255" ht="12.75">
      <c r="A95" s="1126" t="s">
        <v>3458</v>
      </c>
      <c r="B95" s="1126" t="s">
        <v>3422</v>
      </c>
      <c r="C95" s="1127">
        <v>2600000</v>
      </c>
      <c r="D95" s="1127">
        <v>2600000</v>
      </c>
      <c r="E95" s="1127">
        <v>2592306.5</v>
      </c>
      <c r="F95" s="1127">
        <v>7693.5</v>
      </c>
      <c r="IU95" s="392"/>
    </row>
    <row r="96" spans="1:255" ht="12.75">
      <c r="A96" s="1126" t="s">
        <v>3458</v>
      </c>
      <c r="B96" s="1126" t="s">
        <v>3423</v>
      </c>
      <c r="C96" s="1127">
        <v>0</v>
      </c>
      <c r="D96" s="1127">
        <v>0</v>
      </c>
      <c r="E96" s="1127">
        <v>0</v>
      </c>
      <c r="F96" s="1127">
        <v>0</v>
      </c>
      <c r="IU96" s="392"/>
    </row>
    <row r="97" spans="1:255" ht="13.5" thickBot="1">
      <c r="A97" s="1130" t="s">
        <v>3458</v>
      </c>
      <c r="B97" s="1130"/>
      <c r="C97" s="1131">
        <f>SUM(C95:C96)</f>
        <v>2600000</v>
      </c>
      <c r="D97" s="1131">
        <f>SUM(D95:D96)</f>
        <v>2600000</v>
      </c>
      <c r="E97" s="1131">
        <f>SUM(E95:E96)</f>
        <v>2592306.5</v>
      </c>
      <c r="F97" s="1131">
        <f>SUM(F95:F96)</f>
        <v>7693.5</v>
      </c>
      <c r="IU97" s="392"/>
    </row>
    <row r="98" spans="1:255" ht="13.5" thickTop="1">
      <c r="A98" s="1132" t="s">
        <v>3146</v>
      </c>
      <c r="B98" s="1133" t="s">
        <v>3422</v>
      </c>
      <c r="C98" s="1134">
        <f aca="true" t="shared" si="3" ref="C98:F99">SUM(C80,C83,C86,C89,C92,C95)</f>
        <v>69239000</v>
      </c>
      <c r="D98" s="1134">
        <f t="shared" si="3"/>
        <v>62361000</v>
      </c>
      <c r="E98" s="1134">
        <f t="shared" si="3"/>
        <v>61071569.6</v>
      </c>
      <c r="F98" s="1135">
        <f t="shared" si="3"/>
        <v>1283173.2</v>
      </c>
      <c r="IU98" s="392"/>
    </row>
    <row r="99" spans="1:255" ht="12.75">
      <c r="A99" s="1136" t="s">
        <v>3146</v>
      </c>
      <c r="B99" s="1126" t="s">
        <v>3423</v>
      </c>
      <c r="C99" s="1127">
        <f t="shared" si="3"/>
        <v>90000</v>
      </c>
      <c r="D99" s="1127">
        <f t="shared" si="3"/>
        <v>340000</v>
      </c>
      <c r="E99" s="1127">
        <f t="shared" si="3"/>
        <v>339600</v>
      </c>
      <c r="F99" s="1137">
        <f t="shared" si="3"/>
        <v>240</v>
      </c>
      <c r="IU99" s="392"/>
    </row>
    <row r="100" spans="1:255" ht="13.5" thickBot="1">
      <c r="A100" s="1138" t="s">
        <v>3146</v>
      </c>
      <c r="B100" s="1139"/>
      <c r="C100" s="1140">
        <f>SUM(C98:C99)</f>
        <v>69329000</v>
      </c>
      <c r="D100" s="1140">
        <f>SUM(D98:D99)</f>
        <v>62701000</v>
      </c>
      <c r="E100" s="1140">
        <f>SUM(E98:E99)</f>
        <v>61411169.6</v>
      </c>
      <c r="F100" s="1141">
        <f>SUM(F98:F99)</f>
        <v>1283413.2</v>
      </c>
      <c r="IU100" s="392"/>
    </row>
    <row r="101" spans="1:255" ht="13.5" thickTop="1">
      <c r="A101" s="1124" t="s">
        <v>3459</v>
      </c>
      <c r="B101" s="1124" t="s">
        <v>3422</v>
      </c>
      <c r="C101" s="1125">
        <v>19374000</v>
      </c>
      <c r="D101" s="1125">
        <v>21374000</v>
      </c>
      <c r="E101" s="1125">
        <v>21278296.69</v>
      </c>
      <c r="F101" s="1125">
        <v>95703.31</v>
      </c>
      <c r="IU101" s="392"/>
    </row>
    <row r="102" spans="1:255" ht="12.75">
      <c r="A102" s="1126" t="s">
        <v>3459</v>
      </c>
      <c r="B102" s="1126" t="s">
        <v>3423</v>
      </c>
      <c r="C102" s="1127">
        <v>0</v>
      </c>
      <c r="D102" s="1127">
        <v>0</v>
      </c>
      <c r="E102" s="1127">
        <v>0</v>
      </c>
      <c r="F102" s="1127">
        <v>0</v>
      </c>
      <c r="IU102" s="392"/>
    </row>
    <row r="103" spans="1:255" ht="13.5" thickBot="1">
      <c r="A103" s="1130" t="s">
        <v>3460</v>
      </c>
      <c r="B103" s="1130"/>
      <c r="C103" s="1131">
        <f>SUM(C101:C102)</f>
        <v>19374000</v>
      </c>
      <c r="D103" s="1131">
        <f>SUM(D101:D102)</f>
        <v>21374000</v>
      </c>
      <c r="E103" s="1131">
        <f>SUM(E101:E102)</f>
        <v>21278296.69</v>
      </c>
      <c r="F103" s="1131">
        <f>SUM(F101:F102)</f>
        <v>95703.31</v>
      </c>
      <c r="IU103" s="392"/>
    </row>
    <row r="104" spans="1:255" ht="13.5" thickTop="1">
      <c r="A104" s="1132" t="s">
        <v>2594</v>
      </c>
      <c r="B104" s="1133" t="s">
        <v>3422</v>
      </c>
      <c r="C104" s="1134">
        <f aca="true" t="shared" si="4" ref="C104:F105">SUM(C98,C101)</f>
        <v>88613000</v>
      </c>
      <c r="D104" s="1134">
        <f t="shared" si="4"/>
        <v>83735000</v>
      </c>
      <c r="E104" s="1134">
        <f t="shared" si="4"/>
        <v>82349866.29</v>
      </c>
      <c r="F104" s="1135">
        <f t="shared" si="4"/>
        <v>1378876.51</v>
      </c>
      <c r="IU104" s="392"/>
    </row>
    <row r="105" spans="1:255" ht="12.75">
      <c r="A105" s="1136" t="s">
        <v>2594</v>
      </c>
      <c r="B105" s="1126" t="s">
        <v>3423</v>
      </c>
      <c r="C105" s="1127">
        <f t="shared" si="4"/>
        <v>90000</v>
      </c>
      <c r="D105" s="1127">
        <f t="shared" si="4"/>
        <v>340000</v>
      </c>
      <c r="E105" s="1127">
        <f t="shared" si="4"/>
        <v>339600</v>
      </c>
      <c r="F105" s="1137">
        <f t="shared" si="4"/>
        <v>240</v>
      </c>
      <c r="IU105" s="392"/>
    </row>
    <row r="106" spans="1:255" ht="13.5" thickBot="1">
      <c r="A106" s="1138" t="s">
        <v>2594</v>
      </c>
      <c r="B106" s="1139"/>
      <c r="C106" s="1140">
        <f>SUM(C104:C105)</f>
        <v>88703000</v>
      </c>
      <c r="D106" s="1140">
        <f>SUM(D104:D105)</f>
        <v>84075000</v>
      </c>
      <c r="E106" s="1140">
        <f>SUM(E104:E105)</f>
        <v>82689466.29</v>
      </c>
      <c r="F106" s="1141">
        <f>SUM(F104:F105)</f>
        <v>1379116.51</v>
      </c>
      <c r="IU106" s="392"/>
    </row>
    <row r="107" spans="1:255" ht="13.5" thickTop="1">
      <c r="A107" s="1124" t="s">
        <v>3461</v>
      </c>
      <c r="B107" s="1124" t="s">
        <v>3422</v>
      </c>
      <c r="C107" s="1125">
        <v>16630000</v>
      </c>
      <c r="D107" s="1125">
        <v>1587000</v>
      </c>
      <c r="E107" s="1125">
        <v>1586230</v>
      </c>
      <c r="F107" s="1125">
        <v>0</v>
      </c>
      <c r="IU107" s="392"/>
    </row>
    <row r="108" spans="1:255" ht="12.75">
      <c r="A108" s="1124" t="s">
        <v>3461</v>
      </c>
      <c r="B108" s="1126" t="s">
        <v>3423</v>
      </c>
      <c r="C108" s="1127">
        <v>0</v>
      </c>
      <c r="D108" s="1127">
        <v>0</v>
      </c>
      <c r="E108" s="1127">
        <v>0</v>
      </c>
      <c r="F108" s="1127">
        <v>0</v>
      </c>
      <c r="IU108" s="392"/>
    </row>
    <row r="109" spans="1:255" ht="13.5" thickBot="1">
      <c r="A109" s="1130" t="s">
        <v>3461</v>
      </c>
      <c r="B109" s="1130"/>
      <c r="C109" s="1131">
        <f>SUM(C107:C108)</f>
        <v>16630000</v>
      </c>
      <c r="D109" s="1131">
        <f>SUM(D107:D108)</f>
        <v>1587000</v>
      </c>
      <c r="E109" s="1131">
        <f>SUM(E107:E108)</f>
        <v>1586230</v>
      </c>
      <c r="F109" s="1131">
        <f>SUM(F107:F108)</f>
        <v>0</v>
      </c>
      <c r="IU109" s="392"/>
    </row>
    <row r="110" spans="1:255" ht="13.5" thickTop="1">
      <c r="A110" s="1132" t="s">
        <v>3147</v>
      </c>
      <c r="B110" s="1133" t="s">
        <v>3422</v>
      </c>
      <c r="C110" s="1134">
        <f aca="true" t="shared" si="5" ref="C110:F111">SUM(C104,C107)</f>
        <v>105243000</v>
      </c>
      <c r="D110" s="1134">
        <f t="shared" si="5"/>
        <v>85322000</v>
      </c>
      <c r="E110" s="1134">
        <f t="shared" si="5"/>
        <v>83936096.29</v>
      </c>
      <c r="F110" s="1135">
        <f t="shared" si="5"/>
        <v>1378876.51</v>
      </c>
      <c r="IU110" s="392"/>
    </row>
    <row r="111" spans="1:255" ht="12.75">
      <c r="A111" s="1136" t="s">
        <v>3147</v>
      </c>
      <c r="B111" s="1126" t="s">
        <v>3423</v>
      </c>
      <c r="C111" s="1127">
        <f t="shared" si="5"/>
        <v>90000</v>
      </c>
      <c r="D111" s="1127">
        <f t="shared" si="5"/>
        <v>340000</v>
      </c>
      <c r="E111" s="1127">
        <f t="shared" si="5"/>
        <v>339600</v>
      </c>
      <c r="F111" s="1137">
        <f t="shared" si="5"/>
        <v>240</v>
      </c>
      <c r="IU111" s="392"/>
    </row>
    <row r="112" spans="1:255" ht="13.5" thickBot="1">
      <c r="A112" s="1138" t="s">
        <v>3147</v>
      </c>
      <c r="B112" s="1139"/>
      <c r="C112" s="1140">
        <f>SUM(C110:C111)</f>
        <v>105333000</v>
      </c>
      <c r="D112" s="1140">
        <f>SUM(D110:D111)</f>
        <v>85662000</v>
      </c>
      <c r="E112" s="1140">
        <f>SUM(E110:E111)</f>
        <v>84275696.29</v>
      </c>
      <c r="F112" s="1141">
        <f>SUM(F110:F111)</f>
        <v>1379116.51</v>
      </c>
      <c r="IU112" s="392"/>
    </row>
    <row r="113" spans="1:255" ht="13.5" thickTop="1">
      <c r="A113" s="1124" t="s">
        <v>3462</v>
      </c>
      <c r="B113" s="1124" t="s">
        <v>3422</v>
      </c>
      <c r="C113" s="1125">
        <v>15590000</v>
      </c>
      <c r="D113" s="1125">
        <v>41561000</v>
      </c>
      <c r="E113" s="1125">
        <v>41553604.14</v>
      </c>
      <c r="F113" s="1125">
        <v>7395.86</v>
      </c>
      <c r="IU113" s="392"/>
    </row>
    <row r="114" spans="1:255" ht="12.75">
      <c r="A114" s="1126" t="s">
        <v>3462</v>
      </c>
      <c r="B114" s="1126" t="s">
        <v>3423</v>
      </c>
      <c r="C114" s="1127">
        <v>0</v>
      </c>
      <c r="D114" s="1127">
        <v>0</v>
      </c>
      <c r="E114" s="1127">
        <v>0</v>
      </c>
      <c r="F114" s="1127">
        <v>0</v>
      </c>
      <c r="IU114" s="392"/>
    </row>
    <row r="115" spans="1:255" ht="12.75">
      <c r="A115" s="1128" t="s">
        <v>3463</v>
      </c>
      <c r="B115" s="1128"/>
      <c r="C115" s="1129">
        <f>SUM(C113:C114)</f>
        <v>15590000</v>
      </c>
      <c r="D115" s="1129">
        <f>SUM(D113:D114)</f>
        <v>41561000</v>
      </c>
      <c r="E115" s="1129">
        <f>SUM(E113:E114)</f>
        <v>41553604.14</v>
      </c>
      <c r="F115" s="1129">
        <f>SUM(F113:F114)</f>
        <v>7395.86</v>
      </c>
      <c r="IU115" s="392"/>
    </row>
    <row r="116" spans="1:255" ht="12.75">
      <c r="A116" s="1126" t="s">
        <v>3464</v>
      </c>
      <c r="B116" s="1126" t="s">
        <v>3422</v>
      </c>
      <c r="C116" s="1127">
        <v>36348000</v>
      </c>
      <c r="D116" s="1127">
        <v>70469000</v>
      </c>
      <c r="E116" s="1127">
        <v>59685755.1</v>
      </c>
      <c r="F116" s="1127">
        <v>14883244.9</v>
      </c>
      <c r="IU116" s="392"/>
    </row>
    <row r="117" spans="1:255" ht="12.75">
      <c r="A117" s="1126" t="s">
        <v>3464</v>
      </c>
      <c r="B117" s="1126" t="s">
        <v>3423</v>
      </c>
      <c r="C117" s="1127">
        <v>150000</v>
      </c>
      <c r="D117" s="1127">
        <v>0</v>
      </c>
      <c r="E117" s="1127">
        <v>0</v>
      </c>
      <c r="F117" s="1127">
        <v>0</v>
      </c>
      <c r="IU117" s="392"/>
    </row>
    <row r="118" spans="1:255" ht="12.75">
      <c r="A118" s="1128" t="s">
        <v>3465</v>
      </c>
      <c r="B118" s="1128"/>
      <c r="C118" s="1129">
        <f>SUM(C116:C117)</f>
        <v>36498000</v>
      </c>
      <c r="D118" s="1129">
        <f>SUM(D116:D117)</f>
        <v>70469000</v>
      </c>
      <c r="E118" s="1129">
        <f>SUM(E116:E117)</f>
        <v>59685755.1</v>
      </c>
      <c r="F118" s="1129">
        <f>SUM(F116:F117)</f>
        <v>14883244.9</v>
      </c>
      <c r="IU118" s="392"/>
    </row>
    <row r="119" spans="1:6" ht="12.75">
      <c r="A119" s="1126" t="s">
        <v>3466</v>
      </c>
      <c r="B119" s="1126" t="s">
        <v>3422</v>
      </c>
      <c r="C119" s="1127">
        <v>25532000</v>
      </c>
      <c r="D119" s="1127">
        <v>53851000</v>
      </c>
      <c r="E119" s="1127">
        <v>53842331.3</v>
      </c>
      <c r="F119" s="1127">
        <v>8668.7</v>
      </c>
    </row>
    <row r="120" spans="1:6" ht="12.75">
      <c r="A120" s="1126" t="s">
        <v>3466</v>
      </c>
      <c r="B120" s="1126" t="s">
        <v>3423</v>
      </c>
      <c r="C120" s="1127">
        <v>285000</v>
      </c>
      <c r="D120" s="1127">
        <v>279000</v>
      </c>
      <c r="E120" s="1127">
        <v>278460</v>
      </c>
      <c r="F120" s="1127">
        <v>540</v>
      </c>
    </row>
    <row r="121" spans="1:6" ht="12.75">
      <c r="A121" s="1128" t="s">
        <v>3467</v>
      </c>
      <c r="B121" s="1128"/>
      <c r="C121" s="1129">
        <f>SUM(C119:C120)</f>
        <v>25817000</v>
      </c>
      <c r="D121" s="1129">
        <f>SUM(D119:D120)</f>
        <v>54130000</v>
      </c>
      <c r="E121" s="1129">
        <f>SUM(E119:E120)</f>
        <v>54120791.3</v>
      </c>
      <c r="F121" s="1129">
        <f>SUM(F119:F120)</f>
        <v>9208.7</v>
      </c>
    </row>
    <row r="122" spans="1:6" ht="12.75">
      <c r="A122" s="1126" t="s">
        <v>3468</v>
      </c>
      <c r="B122" s="1126" t="s">
        <v>3422</v>
      </c>
      <c r="C122" s="1127">
        <v>97179000</v>
      </c>
      <c r="D122" s="1127">
        <v>91253000</v>
      </c>
      <c r="E122" s="1127">
        <v>95062654.4</v>
      </c>
      <c r="F122" s="1127">
        <v>8057345.6</v>
      </c>
    </row>
    <row r="123" spans="1:6" ht="12.75">
      <c r="A123" s="1126" t="s">
        <v>3468</v>
      </c>
      <c r="B123" s="1126" t="s">
        <v>3423</v>
      </c>
      <c r="C123" s="1127">
        <v>45000</v>
      </c>
      <c r="D123" s="1127">
        <v>0</v>
      </c>
      <c r="E123" s="1127">
        <v>0</v>
      </c>
      <c r="F123" s="1127">
        <v>0</v>
      </c>
    </row>
    <row r="124" spans="1:6" ht="12.75">
      <c r="A124" s="1128" t="s">
        <v>3468</v>
      </c>
      <c r="B124" s="1128"/>
      <c r="C124" s="1129">
        <f>SUM(C122:C123)</f>
        <v>97224000</v>
      </c>
      <c r="D124" s="1129">
        <f>SUM(D122:D123)</f>
        <v>91253000</v>
      </c>
      <c r="E124" s="1129">
        <f>SUM(E122:E123)</f>
        <v>95062654.4</v>
      </c>
      <c r="F124" s="1129">
        <f>SUM(F122:F123)</f>
        <v>8057345.6</v>
      </c>
    </row>
    <row r="125" spans="1:6" ht="12.75">
      <c r="A125" s="1126" t="s">
        <v>3469</v>
      </c>
      <c r="B125" s="1126" t="s">
        <v>3422</v>
      </c>
      <c r="C125" s="1127">
        <v>17792000</v>
      </c>
      <c r="D125" s="1127">
        <v>23979000</v>
      </c>
      <c r="E125" s="1127">
        <v>26377554.07</v>
      </c>
      <c r="F125" s="1127">
        <v>4949898.53</v>
      </c>
    </row>
    <row r="126" spans="1:6" ht="12.75">
      <c r="A126" s="1126" t="s">
        <v>3469</v>
      </c>
      <c r="B126" s="1126" t="s">
        <v>3423</v>
      </c>
      <c r="C126" s="1127">
        <v>0</v>
      </c>
      <c r="D126" s="1127">
        <v>0</v>
      </c>
      <c r="E126" s="1127">
        <v>0</v>
      </c>
      <c r="F126" s="1127">
        <v>0</v>
      </c>
    </row>
    <row r="127" spans="1:6" ht="12.75">
      <c r="A127" s="1128" t="s">
        <v>3470</v>
      </c>
      <c r="B127" s="1128"/>
      <c r="C127" s="1129">
        <f>SUM(C125:C126)</f>
        <v>17792000</v>
      </c>
      <c r="D127" s="1129">
        <f>SUM(D125:D126)</f>
        <v>23979000</v>
      </c>
      <c r="E127" s="1129">
        <f>SUM(E125:E126)</f>
        <v>26377554.07</v>
      </c>
      <c r="F127" s="1129">
        <f>SUM(F125:F126)</f>
        <v>4949898.53</v>
      </c>
    </row>
    <row r="128" spans="1:6" ht="12.75">
      <c r="A128" s="1126" t="s">
        <v>3471</v>
      </c>
      <c r="B128" s="1126" t="s">
        <v>3422</v>
      </c>
      <c r="C128" s="1127">
        <v>46749000</v>
      </c>
      <c r="D128" s="1127">
        <v>70953000</v>
      </c>
      <c r="E128" s="1127">
        <v>57673922.28</v>
      </c>
      <c r="F128" s="1127">
        <v>13279077.72</v>
      </c>
    </row>
    <row r="129" spans="1:6" ht="12.75">
      <c r="A129" s="1126" t="s">
        <v>3471</v>
      </c>
      <c r="B129" s="1126" t="s">
        <v>3423</v>
      </c>
      <c r="C129" s="1127">
        <v>300000</v>
      </c>
      <c r="D129" s="1127">
        <v>269000</v>
      </c>
      <c r="E129" s="1127">
        <v>268107</v>
      </c>
      <c r="F129" s="1127">
        <v>893</v>
      </c>
    </row>
    <row r="130" spans="1:6" ht="12.75">
      <c r="A130" s="1128" t="s">
        <v>3472</v>
      </c>
      <c r="B130" s="1128"/>
      <c r="C130" s="1129">
        <f>SUM(C128:C129)</f>
        <v>47049000</v>
      </c>
      <c r="D130" s="1129">
        <f>SUM(D128:D129)</f>
        <v>71222000</v>
      </c>
      <c r="E130" s="1129">
        <f>SUM(E128:E129)</f>
        <v>57942029.28</v>
      </c>
      <c r="F130" s="1129">
        <f>SUM(F128:F129)</f>
        <v>13279970.72</v>
      </c>
    </row>
    <row r="131" spans="1:6" ht="12.75">
      <c r="A131" s="1126" t="s">
        <v>3473</v>
      </c>
      <c r="B131" s="1126" t="s">
        <v>3422</v>
      </c>
      <c r="C131" s="1127">
        <v>40377000</v>
      </c>
      <c r="D131" s="1127">
        <v>85406000</v>
      </c>
      <c r="E131" s="1127">
        <v>83188743.7</v>
      </c>
      <c r="F131" s="1127">
        <v>2217256.3</v>
      </c>
    </row>
    <row r="132" spans="1:6" ht="12.75">
      <c r="A132" s="1126" t="s">
        <v>3473</v>
      </c>
      <c r="B132" s="1126" t="s">
        <v>3423</v>
      </c>
      <c r="C132" s="1127">
        <v>0</v>
      </c>
      <c r="D132" s="1127">
        <v>17000</v>
      </c>
      <c r="E132" s="1127">
        <v>16567</v>
      </c>
      <c r="F132" s="1127">
        <v>433</v>
      </c>
    </row>
    <row r="133" spans="1:6" ht="12.75">
      <c r="A133" s="1128" t="s">
        <v>3474</v>
      </c>
      <c r="B133" s="1128"/>
      <c r="C133" s="1129">
        <f>SUM(C131:C132)</f>
        <v>40377000</v>
      </c>
      <c r="D133" s="1129">
        <f>SUM(D131:D132)</f>
        <v>85423000</v>
      </c>
      <c r="E133" s="1129">
        <f>SUM(E131:E132)</f>
        <v>83205310.7</v>
      </c>
      <c r="F133" s="1129">
        <f>SUM(F131:F132)</f>
        <v>2217689.3</v>
      </c>
    </row>
    <row r="134" spans="1:6" ht="12.75">
      <c r="A134" s="1126" t="s">
        <v>3475</v>
      </c>
      <c r="B134" s="1126" t="s">
        <v>3422</v>
      </c>
      <c r="C134" s="1127">
        <v>30110000</v>
      </c>
      <c r="D134" s="1127">
        <v>64699000</v>
      </c>
      <c r="E134" s="1127">
        <v>75922603.4</v>
      </c>
      <c r="F134" s="1127">
        <v>2951673.6</v>
      </c>
    </row>
    <row r="135" spans="1:6" ht="12.75">
      <c r="A135" s="1126" t="s">
        <v>3475</v>
      </c>
      <c r="B135" s="1126" t="s">
        <v>3423</v>
      </c>
      <c r="C135" s="1127">
        <v>330000</v>
      </c>
      <c r="D135" s="1127">
        <v>0</v>
      </c>
      <c r="E135" s="1127">
        <v>0</v>
      </c>
      <c r="F135" s="1127">
        <v>0</v>
      </c>
    </row>
    <row r="136" spans="1:6" ht="12.75">
      <c r="A136" s="1128" t="s">
        <v>3476</v>
      </c>
      <c r="B136" s="1128"/>
      <c r="C136" s="1129">
        <f>SUM(C134:C135)</f>
        <v>30440000</v>
      </c>
      <c r="D136" s="1129">
        <f>SUM(D134:D135)</f>
        <v>64699000</v>
      </c>
      <c r="E136" s="1129">
        <f>SUM(E134:E135)</f>
        <v>75922603.4</v>
      </c>
      <c r="F136" s="1129">
        <f>SUM(F134:F135)</f>
        <v>2951673.6</v>
      </c>
    </row>
    <row r="137" spans="1:6" ht="12.75">
      <c r="A137" s="1126" t="s">
        <v>3477</v>
      </c>
      <c r="B137" s="1126" t="s">
        <v>3422</v>
      </c>
      <c r="C137" s="1127">
        <v>34167000</v>
      </c>
      <c r="D137" s="1127">
        <v>16338000</v>
      </c>
      <c r="E137" s="1127">
        <v>16493554</v>
      </c>
      <c r="F137" s="1127">
        <v>53976</v>
      </c>
    </row>
    <row r="138" spans="1:6" ht="12.75">
      <c r="A138" s="1126" t="s">
        <v>3477</v>
      </c>
      <c r="B138" s="1126" t="s">
        <v>3423</v>
      </c>
      <c r="C138" s="1127">
        <v>0</v>
      </c>
      <c r="D138" s="1127">
        <v>0</v>
      </c>
      <c r="E138" s="1127">
        <v>0</v>
      </c>
      <c r="F138" s="1127">
        <v>0</v>
      </c>
    </row>
    <row r="139" spans="1:6" ht="12.75">
      <c r="A139" s="1128" t="s">
        <v>3478</v>
      </c>
      <c r="B139" s="1128"/>
      <c r="C139" s="1129">
        <f>SUM(C137:C138)</f>
        <v>34167000</v>
      </c>
      <c r="D139" s="1129">
        <f>SUM(D137:D138)</f>
        <v>16338000</v>
      </c>
      <c r="E139" s="1129">
        <f>SUM(E137:E138)</f>
        <v>16493554</v>
      </c>
      <c r="F139" s="1129">
        <f>SUM(F137:F138)</f>
        <v>53976</v>
      </c>
    </row>
    <row r="140" spans="1:6" ht="12.75">
      <c r="A140" s="1126" t="s">
        <v>3479</v>
      </c>
      <c r="B140" s="1126" t="s">
        <v>3422</v>
      </c>
      <c r="C140" s="1127">
        <v>35276000</v>
      </c>
      <c r="D140" s="1127">
        <v>39328000</v>
      </c>
      <c r="E140" s="1127">
        <v>29252289.7</v>
      </c>
      <c r="F140" s="1127">
        <v>12553000</v>
      </c>
    </row>
    <row r="141" spans="1:6" ht="12.75">
      <c r="A141" s="1126" t="s">
        <v>3479</v>
      </c>
      <c r="B141" s="1126" t="s">
        <v>3423</v>
      </c>
      <c r="C141" s="1127">
        <v>200000</v>
      </c>
      <c r="D141" s="1127">
        <v>0</v>
      </c>
      <c r="E141" s="1127">
        <v>0</v>
      </c>
      <c r="F141" s="1127">
        <v>0</v>
      </c>
    </row>
    <row r="142" spans="1:6" ht="12.75">
      <c r="A142" s="1128" t="s">
        <v>3480</v>
      </c>
      <c r="B142" s="1128"/>
      <c r="C142" s="1129">
        <f>SUM(C140:C141)</f>
        <v>35476000</v>
      </c>
      <c r="D142" s="1129">
        <f>SUM(D140:D141)</f>
        <v>39328000</v>
      </c>
      <c r="E142" s="1129">
        <f>SUM(E140:E141)</f>
        <v>29252289.7</v>
      </c>
      <c r="F142" s="1129">
        <f>SUM(F140:F141)</f>
        <v>12553000</v>
      </c>
    </row>
    <row r="143" spans="1:6" ht="12.75">
      <c r="A143" s="1126" t="s">
        <v>3481</v>
      </c>
      <c r="B143" s="1126" t="s">
        <v>3422</v>
      </c>
      <c r="C143" s="1127">
        <v>40210000</v>
      </c>
      <c r="D143" s="1127">
        <v>64548000</v>
      </c>
      <c r="E143" s="1127">
        <v>76741190.7</v>
      </c>
      <c r="F143" s="1127">
        <v>306698.3</v>
      </c>
    </row>
    <row r="144" spans="1:6" ht="12.75">
      <c r="A144" s="1126" t="s">
        <v>3481</v>
      </c>
      <c r="B144" s="1126" t="s">
        <v>3423</v>
      </c>
      <c r="C144" s="1127">
        <v>80000</v>
      </c>
      <c r="D144" s="1127">
        <v>0</v>
      </c>
      <c r="E144" s="1127">
        <v>0</v>
      </c>
      <c r="F144" s="1127">
        <v>0</v>
      </c>
    </row>
    <row r="145" spans="1:6" ht="12.75">
      <c r="A145" s="1128" t="s">
        <v>3482</v>
      </c>
      <c r="B145" s="1128"/>
      <c r="C145" s="1129">
        <f>SUM(C143:C144)</f>
        <v>40290000</v>
      </c>
      <c r="D145" s="1129">
        <f>SUM(D143:D144)</f>
        <v>64548000</v>
      </c>
      <c r="E145" s="1129">
        <f>SUM(E143:E144)</f>
        <v>76741190.7</v>
      </c>
      <c r="F145" s="1129">
        <f>SUM(F143:F144)</f>
        <v>306698.3</v>
      </c>
    </row>
    <row r="146" spans="1:6" ht="12.75">
      <c r="A146" s="1126" t="s">
        <v>3483</v>
      </c>
      <c r="B146" s="1126" t="s">
        <v>3422</v>
      </c>
      <c r="C146" s="1127">
        <v>33256000</v>
      </c>
      <c r="D146" s="1127">
        <v>47514000</v>
      </c>
      <c r="E146" s="1127">
        <v>52586331.15</v>
      </c>
      <c r="F146" s="1127">
        <v>2507668.85</v>
      </c>
    </row>
    <row r="147" spans="1:6" ht="12.75">
      <c r="A147" s="1126" t="s">
        <v>3483</v>
      </c>
      <c r="B147" s="1126" t="s">
        <v>3423</v>
      </c>
      <c r="C147" s="1127">
        <v>73000</v>
      </c>
      <c r="D147" s="1127">
        <v>0</v>
      </c>
      <c r="E147" s="1127">
        <v>0</v>
      </c>
      <c r="F147" s="1127">
        <v>0</v>
      </c>
    </row>
    <row r="148" spans="1:6" ht="12.75">
      <c r="A148" s="1128" t="s">
        <v>3484</v>
      </c>
      <c r="B148" s="1128"/>
      <c r="C148" s="1129">
        <f>SUM(C146:C147)</f>
        <v>33329000</v>
      </c>
      <c r="D148" s="1129">
        <f>SUM(D146:D147)</f>
        <v>47514000</v>
      </c>
      <c r="E148" s="1129">
        <f>SUM(E146:E147)</f>
        <v>52586331.15</v>
      </c>
      <c r="F148" s="1129">
        <f>SUM(F146:F147)</f>
        <v>2507668.85</v>
      </c>
    </row>
    <row r="149" spans="1:6" ht="12.75">
      <c r="A149" s="1126" t="s">
        <v>3485</v>
      </c>
      <c r="B149" s="1126" t="s">
        <v>3422</v>
      </c>
      <c r="C149" s="1127">
        <v>12826000</v>
      </c>
      <c r="D149" s="1127">
        <v>45139000</v>
      </c>
      <c r="E149" s="1127">
        <v>44172297.3</v>
      </c>
      <c r="F149" s="1127">
        <v>3420402.7</v>
      </c>
    </row>
    <row r="150" spans="1:6" ht="12.75">
      <c r="A150" s="1126" t="s">
        <v>3485</v>
      </c>
      <c r="B150" s="1126" t="s">
        <v>3423</v>
      </c>
      <c r="C150" s="1127">
        <v>83000</v>
      </c>
      <c r="D150" s="1127">
        <v>83000</v>
      </c>
      <c r="E150" s="1127">
        <v>82997</v>
      </c>
      <c r="F150" s="1127">
        <v>0</v>
      </c>
    </row>
    <row r="151" spans="1:6" ht="12.75">
      <c r="A151" s="1128" t="s">
        <v>3486</v>
      </c>
      <c r="B151" s="1128"/>
      <c r="C151" s="1129">
        <f>SUM(C149:C150)</f>
        <v>12909000</v>
      </c>
      <c r="D151" s="1129">
        <f>SUM(D149:D150)</f>
        <v>45222000</v>
      </c>
      <c r="E151" s="1129">
        <f>SUM(E149:E150)</f>
        <v>44255294.3</v>
      </c>
      <c r="F151" s="1129">
        <f>SUM(F149:F150)</f>
        <v>3420402.7</v>
      </c>
    </row>
    <row r="152" spans="1:6" ht="12.75">
      <c r="A152" s="1126" t="s">
        <v>3487</v>
      </c>
      <c r="B152" s="1126" t="s">
        <v>3422</v>
      </c>
      <c r="C152" s="1127">
        <v>4253000</v>
      </c>
      <c r="D152" s="1127">
        <v>15573000</v>
      </c>
      <c r="E152" s="1127">
        <v>16688806</v>
      </c>
      <c r="F152" s="1127">
        <v>4194</v>
      </c>
    </row>
    <row r="153" spans="1:6" ht="12.75">
      <c r="A153" s="1126" t="s">
        <v>3487</v>
      </c>
      <c r="B153" s="1126" t="s">
        <v>3423</v>
      </c>
      <c r="C153" s="1127">
        <v>0</v>
      </c>
      <c r="D153" s="1127">
        <v>97000</v>
      </c>
      <c r="E153" s="1127">
        <v>96390</v>
      </c>
      <c r="F153" s="1127">
        <v>610</v>
      </c>
    </row>
    <row r="154" spans="1:6" ht="12.75">
      <c r="A154" s="1128" t="s">
        <v>3488</v>
      </c>
      <c r="B154" s="1128"/>
      <c r="C154" s="1129">
        <f>SUM(C152:C153)</f>
        <v>4253000</v>
      </c>
      <c r="D154" s="1129">
        <f>SUM(D152:D153)</f>
        <v>15670000</v>
      </c>
      <c r="E154" s="1129">
        <f>SUM(E152:E153)</f>
        <v>16785196</v>
      </c>
      <c r="F154" s="1129">
        <f>SUM(F152:F153)</f>
        <v>4804</v>
      </c>
    </row>
    <row r="155" spans="1:6" ht="12.75">
      <c r="A155" s="1126" t="s">
        <v>3489</v>
      </c>
      <c r="B155" s="1126" t="s">
        <v>3422</v>
      </c>
      <c r="C155" s="1127">
        <v>190000000</v>
      </c>
      <c r="D155" s="1127">
        <v>0</v>
      </c>
      <c r="E155" s="1127">
        <v>0</v>
      </c>
      <c r="F155" s="1127">
        <v>0</v>
      </c>
    </row>
    <row r="156" spans="1:6" ht="12.75">
      <c r="A156" s="1126" t="s">
        <v>3489</v>
      </c>
      <c r="B156" s="1126" t="s">
        <v>3423</v>
      </c>
      <c r="C156" s="1127">
        <v>0</v>
      </c>
      <c r="D156" s="1127">
        <v>0</v>
      </c>
      <c r="E156" s="1127">
        <v>0</v>
      </c>
      <c r="F156" s="1127">
        <v>0</v>
      </c>
    </row>
    <row r="157" spans="1:6" ht="13.5" thickBot="1">
      <c r="A157" s="1130" t="s">
        <v>3490</v>
      </c>
      <c r="B157" s="1130"/>
      <c r="C157" s="1131">
        <f>SUM(C155:C156)</f>
        <v>190000000</v>
      </c>
      <c r="D157" s="1131">
        <f>SUM(D155:D156)</f>
        <v>0</v>
      </c>
      <c r="E157" s="1131">
        <f>SUM(E155:E156)</f>
        <v>0</v>
      </c>
      <c r="F157" s="1131">
        <f>SUM(F155:F156)</f>
        <v>0</v>
      </c>
    </row>
    <row r="158" spans="1:6" ht="13.5" thickTop="1">
      <c r="A158" s="1142" t="s">
        <v>2668</v>
      </c>
      <c r="B158" s="1143" t="s">
        <v>3422</v>
      </c>
      <c r="C158" s="1144">
        <f aca="true" t="shared" si="6" ref="C158:F159">SUM(C113,C116,C119,C122,C125,C128,C131,C134,C137,C140,C143,C146,C149,C152,C155)</f>
        <v>659665000</v>
      </c>
      <c r="D158" s="1144">
        <f t="shared" si="6"/>
        <v>730611000</v>
      </c>
      <c r="E158" s="1144">
        <f t="shared" si="6"/>
        <v>729241637.2400001</v>
      </c>
      <c r="F158" s="1145">
        <f t="shared" si="6"/>
        <v>65200501.06</v>
      </c>
    </row>
    <row r="159" spans="1:6" ht="12.75">
      <c r="A159" s="1146" t="s">
        <v>2668</v>
      </c>
      <c r="B159" s="1147" t="s">
        <v>3423</v>
      </c>
      <c r="C159" s="1148">
        <f t="shared" si="6"/>
        <v>1546000</v>
      </c>
      <c r="D159" s="1148">
        <f t="shared" si="6"/>
        <v>745000</v>
      </c>
      <c r="E159" s="1148">
        <f t="shared" si="6"/>
        <v>742521</v>
      </c>
      <c r="F159" s="1149">
        <f t="shared" si="6"/>
        <v>2476</v>
      </c>
    </row>
    <row r="160" spans="1:6" ht="13.5" thickBot="1">
      <c r="A160" s="1138" t="s">
        <v>2668</v>
      </c>
      <c r="B160" s="1139"/>
      <c r="C160" s="1140">
        <f>SUM(C158:C159)</f>
        <v>661211000</v>
      </c>
      <c r="D160" s="1140">
        <f>SUM(D158:D159)</f>
        <v>731356000</v>
      </c>
      <c r="E160" s="1140">
        <f>SUM(E158:E159)</f>
        <v>729984158.2400001</v>
      </c>
      <c r="F160" s="1141">
        <f>SUM(F158:F159)</f>
        <v>65202977.06</v>
      </c>
    </row>
    <row r="161" spans="1:6" ht="13.5" thickTop="1">
      <c r="A161" s="1124" t="s">
        <v>3208</v>
      </c>
      <c r="B161" s="1124" t="s">
        <v>3422</v>
      </c>
      <c r="C161" s="1125">
        <v>3800000</v>
      </c>
      <c r="D161" s="1125">
        <v>3154000</v>
      </c>
      <c r="E161" s="1125">
        <v>3152800.1</v>
      </c>
      <c r="F161" s="1125">
        <v>1199.8</v>
      </c>
    </row>
    <row r="162" spans="1:6" ht="12.75">
      <c r="A162" s="1126" t="s">
        <v>3208</v>
      </c>
      <c r="B162" s="1126" t="s">
        <v>3423</v>
      </c>
      <c r="C162" s="1127">
        <v>0</v>
      </c>
      <c r="D162" s="1127">
        <v>646000</v>
      </c>
      <c r="E162" s="1127">
        <v>645955.8</v>
      </c>
      <c r="F162" s="1127">
        <v>44.2</v>
      </c>
    </row>
    <row r="163" spans="1:6" ht="12.75">
      <c r="A163" s="1128" t="s">
        <v>3491</v>
      </c>
      <c r="B163" s="1128"/>
      <c r="C163" s="1129">
        <f>SUM(C161:C162)</f>
        <v>3800000</v>
      </c>
      <c r="D163" s="1129">
        <f>SUM(D161:D162)</f>
        <v>3800000</v>
      </c>
      <c r="E163" s="1129">
        <f>SUM(E161:E162)</f>
        <v>3798755.9000000004</v>
      </c>
      <c r="F163" s="1129">
        <f>SUM(F161:F162)</f>
        <v>1244</v>
      </c>
    </row>
    <row r="164" spans="1:6" ht="12.75">
      <c r="A164" s="1126" t="s">
        <v>3492</v>
      </c>
      <c r="B164" s="1126" t="s">
        <v>3422</v>
      </c>
      <c r="C164" s="1127">
        <v>31755000</v>
      </c>
      <c r="D164" s="1127">
        <v>48555000</v>
      </c>
      <c r="E164" s="1127">
        <v>14412373.05</v>
      </c>
      <c r="F164" s="1127">
        <v>34142626.95</v>
      </c>
    </row>
    <row r="165" spans="1:6" ht="12.75">
      <c r="A165" s="1126" t="s">
        <v>3492</v>
      </c>
      <c r="B165" s="1126" t="s">
        <v>3423</v>
      </c>
      <c r="C165" s="1127">
        <v>0</v>
      </c>
      <c r="D165" s="1127">
        <v>0</v>
      </c>
      <c r="E165" s="1127">
        <v>0</v>
      </c>
      <c r="F165" s="1127">
        <v>0</v>
      </c>
    </row>
    <row r="166" spans="1:6" ht="13.5" thickBot="1">
      <c r="A166" s="1130" t="s">
        <v>3493</v>
      </c>
      <c r="B166" s="1130"/>
      <c r="C166" s="1131">
        <f>SUM(C164:C165)</f>
        <v>31755000</v>
      </c>
      <c r="D166" s="1131">
        <f>SUM(D164:D165)</f>
        <v>48555000</v>
      </c>
      <c r="E166" s="1131">
        <f>SUM(E164:E165)</f>
        <v>14412373.05</v>
      </c>
      <c r="F166" s="1131">
        <f>SUM(F164:F165)</f>
        <v>34142626.95</v>
      </c>
    </row>
    <row r="167" spans="1:6" ht="13.5" thickTop="1">
      <c r="A167" s="1132" t="s">
        <v>3494</v>
      </c>
      <c r="B167" s="1133" t="s">
        <v>3422</v>
      </c>
      <c r="C167" s="1134">
        <f aca="true" t="shared" si="7" ref="C167:F168">SUM(C161,C164)</f>
        <v>35555000</v>
      </c>
      <c r="D167" s="1134">
        <f t="shared" si="7"/>
        <v>51709000</v>
      </c>
      <c r="E167" s="1134">
        <f t="shared" si="7"/>
        <v>17565173.150000002</v>
      </c>
      <c r="F167" s="1135">
        <f t="shared" si="7"/>
        <v>34143826.75</v>
      </c>
    </row>
    <row r="168" spans="1:6" ht="12.75">
      <c r="A168" s="1136" t="s">
        <v>3494</v>
      </c>
      <c r="B168" s="1126" t="s">
        <v>3423</v>
      </c>
      <c r="C168" s="1127">
        <f t="shared" si="7"/>
        <v>0</v>
      </c>
      <c r="D168" s="1127">
        <f t="shared" si="7"/>
        <v>646000</v>
      </c>
      <c r="E168" s="1127">
        <f t="shared" si="7"/>
        <v>645955.8</v>
      </c>
      <c r="F168" s="1137">
        <f t="shared" si="7"/>
        <v>44.2</v>
      </c>
    </row>
    <row r="169" spans="1:6" ht="13.5" thickBot="1">
      <c r="A169" s="1138" t="s">
        <v>3494</v>
      </c>
      <c r="B169" s="1139"/>
      <c r="C169" s="1140">
        <f>SUM(C167:C168)</f>
        <v>35555000</v>
      </c>
      <c r="D169" s="1140">
        <f>SUM(D167:D168)</f>
        <v>52355000</v>
      </c>
      <c r="E169" s="1140">
        <f>SUM(E167:E168)</f>
        <v>18211128.950000003</v>
      </c>
      <c r="F169" s="1141">
        <f>SUM(F167:F168)</f>
        <v>34143870.95</v>
      </c>
    </row>
    <row r="170" spans="1:6" ht="13.5" thickTop="1">
      <c r="A170" s="1124" t="s">
        <v>3495</v>
      </c>
      <c r="B170" s="1124" t="s">
        <v>3422</v>
      </c>
      <c r="C170" s="1125">
        <v>8000000</v>
      </c>
      <c r="D170" s="1125">
        <v>8000000</v>
      </c>
      <c r="E170" s="1125">
        <v>0</v>
      </c>
      <c r="F170" s="1125">
        <v>8000000</v>
      </c>
    </row>
    <row r="171" spans="1:6" ht="12.75">
      <c r="A171" s="1126" t="s">
        <v>3495</v>
      </c>
      <c r="B171" s="1126" t="s">
        <v>3423</v>
      </c>
      <c r="C171" s="1127">
        <v>0</v>
      </c>
      <c r="D171" s="1127">
        <v>0</v>
      </c>
      <c r="E171" s="1127">
        <v>0</v>
      </c>
      <c r="F171" s="1127">
        <v>0</v>
      </c>
    </row>
    <row r="172" spans="1:6" ht="12.75">
      <c r="A172" s="1128" t="s">
        <v>3496</v>
      </c>
      <c r="B172" s="1128"/>
      <c r="C172" s="1129">
        <f>SUM(C170:C171)</f>
        <v>8000000</v>
      </c>
      <c r="D172" s="1129">
        <f>SUM(D170:D171)</f>
        <v>8000000</v>
      </c>
      <c r="E172" s="1129">
        <f>SUM(E170:E171)</f>
        <v>0</v>
      </c>
      <c r="F172" s="1129">
        <f>SUM(F170:F171)</f>
        <v>8000000</v>
      </c>
    </row>
    <row r="173" spans="1:6" ht="12.75">
      <c r="A173" s="1126" t="s">
        <v>3497</v>
      </c>
      <c r="B173" s="1126" t="s">
        <v>3422</v>
      </c>
      <c r="C173" s="1127">
        <v>5000000</v>
      </c>
      <c r="D173" s="1127">
        <v>5000000</v>
      </c>
      <c r="E173" s="1127">
        <v>4973040.45</v>
      </c>
      <c r="F173" s="1127">
        <v>26959.55</v>
      </c>
    </row>
    <row r="174" spans="1:6" ht="12.75">
      <c r="A174" s="1126" t="s">
        <v>3497</v>
      </c>
      <c r="B174" s="1126" t="s">
        <v>3423</v>
      </c>
      <c r="C174" s="1127">
        <v>0</v>
      </c>
      <c r="D174" s="1127">
        <v>0</v>
      </c>
      <c r="E174" s="1127">
        <v>0</v>
      </c>
      <c r="F174" s="1127">
        <v>0</v>
      </c>
    </row>
    <row r="175" spans="1:6" ht="12.75">
      <c r="A175" s="1128" t="s">
        <v>3498</v>
      </c>
      <c r="B175" s="1128"/>
      <c r="C175" s="1129">
        <f>SUM(C173:C174)</f>
        <v>5000000</v>
      </c>
      <c r="D175" s="1129">
        <f>SUM(D173:D174)</f>
        <v>5000000</v>
      </c>
      <c r="E175" s="1129">
        <f>SUM(E173:E174)</f>
        <v>4973040.45</v>
      </c>
      <c r="F175" s="1129">
        <f>SUM(F173:F174)</f>
        <v>26959.55</v>
      </c>
    </row>
    <row r="176" spans="1:6" ht="12.75">
      <c r="A176" s="1126" t="s">
        <v>3499</v>
      </c>
      <c r="B176" s="1126" t="s">
        <v>3422</v>
      </c>
      <c r="C176" s="1127">
        <v>7353000</v>
      </c>
      <c r="D176" s="1127">
        <v>8203000</v>
      </c>
      <c r="E176" s="1127">
        <v>8203000</v>
      </c>
      <c r="F176" s="1127">
        <v>0</v>
      </c>
    </row>
    <row r="177" spans="1:6" ht="12.75">
      <c r="A177" s="1126" t="s">
        <v>3499</v>
      </c>
      <c r="B177" s="1126" t="s">
        <v>3423</v>
      </c>
      <c r="C177" s="1127">
        <v>350000</v>
      </c>
      <c r="D177" s="1127">
        <v>0</v>
      </c>
      <c r="E177" s="1127">
        <v>0</v>
      </c>
      <c r="F177" s="1127">
        <v>0</v>
      </c>
    </row>
    <row r="178" spans="1:6" ht="12.75">
      <c r="A178" s="1128" t="s">
        <v>3500</v>
      </c>
      <c r="B178" s="1128"/>
      <c r="C178" s="1129">
        <f>SUM(C176:C177)</f>
        <v>7703000</v>
      </c>
      <c r="D178" s="1129">
        <f>SUM(D176:D177)</f>
        <v>8203000</v>
      </c>
      <c r="E178" s="1129">
        <f>SUM(E176:E177)</f>
        <v>8203000</v>
      </c>
      <c r="F178" s="1129">
        <f>SUM(F176:F177)</f>
        <v>0</v>
      </c>
    </row>
    <row r="179" spans="1:6" ht="12.75">
      <c r="A179" s="1126" t="s">
        <v>3501</v>
      </c>
      <c r="B179" s="1126" t="s">
        <v>3422</v>
      </c>
      <c r="C179" s="1127">
        <v>500000</v>
      </c>
      <c r="D179" s="1127">
        <v>0</v>
      </c>
      <c r="E179" s="1127">
        <v>0</v>
      </c>
      <c r="F179" s="1127">
        <v>0</v>
      </c>
    </row>
    <row r="180" spans="1:6" ht="12.75">
      <c r="A180" s="1126" t="s">
        <v>3501</v>
      </c>
      <c r="B180" s="1126" t="s">
        <v>3423</v>
      </c>
      <c r="C180" s="1127">
        <v>0</v>
      </c>
      <c r="D180" s="1127">
        <v>0</v>
      </c>
      <c r="E180" s="1127">
        <v>0</v>
      </c>
      <c r="F180" s="1127">
        <v>0</v>
      </c>
    </row>
    <row r="181" spans="1:6" ht="12.75">
      <c r="A181" s="1128" t="s">
        <v>3502</v>
      </c>
      <c r="B181" s="1128"/>
      <c r="C181" s="1129">
        <f>SUM(C179:C180)</f>
        <v>500000</v>
      </c>
      <c r="D181" s="1129">
        <f>SUM(D179:D180)</f>
        <v>0</v>
      </c>
      <c r="E181" s="1129">
        <f>SUM(E179:E180)</f>
        <v>0</v>
      </c>
      <c r="F181" s="1129">
        <f>SUM(F179:F180)</f>
        <v>0</v>
      </c>
    </row>
    <row r="182" spans="1:6" ht="12.75">
      <c r="A182" s="1126" t="s">
        <v>3503</v>
      </c>
      <c r="B182" s="1126" t="s">
        <v>3422</v>
      </c>
      <c r="C182" s="1127">
        <v>360058000</v>
      </c>
      <c r="D182" s="1127">
        <v>399978000</v>
      </c>
      <c r="E182" s="1127">
        <v>371999664.85</v>
      </c>
      <c r="F182" s="1127">
        <v>27978335.15</v>
      </c>
    </row>
    <row r="183" spans="1:6" ht="12.75">
      <c r="A183" s="1126" t="s">
        <v>3503</v>
      </c>
      <c r="B183" s="1126" t="s">
        <v>3423</v>
      </c>
      <c r="C183" s="1127">
        <v>0</v>
      </c>
      <c r="D183" s="1127">
        <v>0</v>
      </c>
      <c r="E183" s="1127">
        <v>0</v>
      </c>
      <c r="F183" s="1127">
        <v>0</v>
      </c>
    </row>
    <row r="184" spans="1:6" ht="13.5" thickBot="1">
      <c r="A184" s="1130" t="s">
        <v>3504</v>
      </c>
      <c r="B184" s="1130"/>
      <c r="C184" s="1131">
        <f>SUM(C182:C183)</f>
        <v>360058000</v>
      </c>
      <c r="D184" s="1131">
        <f>SUM(D182:D183)</f>
        <v>399978000</v>
      </c>
      <c r="E184" s="1131">
        <f>SUM(E182:E183)</f>
        <v>371999664.85</v>
      </c>
      <c r="F184" s="1131">
        <f>SUM(F182:F183)</f>
        <v>27978335.15</v>
      </c>
    </row>
    <row r="185" spans="1:6" ht="13.5" thickTop="1">
      <c r="A185" s="1132" t="s">
        <v>3212</v>
      </c>
      <c r="B185" s="1133" t="s">
        <v>3422</v>
      </c>
      <c r="C185" s="1134">
        <f aca="true" t="shared" si="8" ref="C185:F186">SUM(C170,C173,C176,C179,C182)</f>
        <v>380911000</v>
      </c>
      <c r="D185" s="1134">
        <f t="shared" si="8"/>
        <v>421181000</v>
      </c>
      <c r="E185" s="1134">
        <f t="shared" si="8"/>
        <v>385175705.3</v>
      </c>
      <c r="F185" s="1135">
        <f t="shared" si="8"/>
        <v>36005294.699999996</v>
      </c>
    </row>
    <row r="186" spans="1:6" ht="12.75">
      <c r="A186" s="1136" t="s">
        <v>3212</v>
      </c>
      <c r="B186" s="1126" t="s">
        <v>3423</v>
      </c>
      <c r="C186" s="1127">
        <f t="shared" si="8"/>
        <v>350000</v>
      </c>
      <c r="D186" s="1127">
        <f t="shared" si="8"/>
        <v>0</v>
      </c>
      <c r="E186" s="1127">
        <f t="shared" si="8"/>
        <v>0</v>
      </c>
      <c r="F186" s="1137">
        <f t="shared" si="8"/>
        <v>0</v>
      </c>
    </row>
    <row r="187" spans="1:6" ht="13.5" thickBot="1">
      <c r="A187" s="1138" t="s">
        <v>3212</v>
      </c>
      <c r="B187" s="1139"/>
      <c r="C187" s="1140">
        <f>SUM(C185:C186)</f>
        <v>381261000</v>
      </c>
      <c r="D187" s="1140">
        <f>SUM(D185:D186)</f>
        <v>421181000</v>
      </c>
      <c r="E187" s="1140">
        <f>SUM(E185:E186)</f>
        <v>385175705.3</v>
      </c>
      <c r="F187" s="1141">
        <f>SUM(F185:F186)</f>
        <v>36005294.699999996</v>
      </c>
    </row>
    <row r="188" spans="1:6" ht="13.5" thickTop="1">
      <c r="A188" s="1150" t="s">
        <v>3505</v>
      </c>
      <c r="B188" s="1151" t="s">
        <v>3422</v>
      </c>
      <c r="C188" s="1152">
        <f aca="true" t="shared" si="9" ref="C188:F189">SUM(C50,C77,C110,C158,C167,C185)</f>
        <v>3715877000</v>
      </c>
      <c r="D188" s="1152">
        <f t="shared" si="9"/>
        <v>4495913000</v>
      </c>
      <c r="E188" s="1152">
        <f t="shared" si="9"/>
        <v>3831213386.71</v>
      </c>
      <c r="F188" s="1153">
        <f t="shared" si="9"/>
        <v>743767383.1099999</v>
      </c>
    </row>
    <row r="189" spans="1:6" ht="12.75">
      <c r="A189" s="1154" t="s">
        <v>3505</v>
      </c>
      <c r="B189" s="1155" t="s">
        <v>3423</v>
      </c>
      <c r="C189" s="1156">
        <f t="shared" si="9"/>
        <v>132989000</v>
      </c>
      <c r="D189" s="1156">
        <f t="shared" si="9"/>
        <v>235026000</v>
      </c>
      <c r="E189" s="1156">
        <f t="shared" si="9"/>
        <v>158465705.98000002</v>
      </c>
      <c r="F189" s="1157">
        <f t="shared" si="9"/>
        <v>76534264.82000001</v>
      </c>
    </row>
    <row r="190" spans="1:6" ht="13.5" thickBot="1">
      <c r="A190" s="1158" t="s">
        <v>3505</v>
      </c>
      <c r="B190" s="1159"/>
      <c r="C190" s="1160">
        <f>SUM(C188,C189)</f>
        <v>3848866000</v>
      </c>
      <c r="D190" s="1160">
        <f>SUM(D188:D189)</f>
        <v>4730939000</v>
      </c>
      <c r="E190" s="1160">
        <f>SUM(E188:E189)</f>
        <v>3989679092.69</v>
      </c>
      <c r="F190" s="1161">
        <f>SUM(F188:F189)</f>
        <v>820301647.93</v>
      </c>
    </row>
    <row r="191" spans="1:6" ht="13.5" thickTop="1">
      <c r="A191" s="1162" t="s">
        <v>3506</v>
      </c>
      <c r="B191" s="1163" t="s">
        <v>3422</v>
      </c>
      <c r="C191" s="1164">
        <v>0</v>
      </c>
      <c r="D191" s="1164">
        <v>9500000</v>
      </c>
      <c r="E191" s="1165">
        <v>9498213.7</v>
      </c>
      <c r="F191" s="1166">
        <v>0</v>
      </c>
    </row>
    <row r="192" spans="1:6" ht="12.75">
      <c r="A192" s="1167" t="s">
        <v>3506</v>
      </c>
      <c r="B192" s="379" t="s">
        <v>3423</v>
      </c>
      <c r="C192" s="1168">
        <v>0</v>
      </c>
      <c r="D192" s="1168">
        <v>0</v>
      </c>
      <c r="E192" s="1168">
        <v>0</v>
      </c>
      <c r="F192" s="1007">
        <v>0</v>
      </c>
    </row>
    <row r="193" spans="1:6" ht="13.5" thickBot="1">
      <c r="A193" s="1169" t="s">
        <v>3506</v>
      </c>
      <c r="B193" s="1170"/>
      <c r="C193" s="1171">
        <f>SUM(C191:C192)</f>
        <v>0</v>
      </c>
      <c r="D193" s="1171">
        <f>SUM(D191:D192)</f>
        <v>9500000</v>
      </c>
      <c r="E193" s="1171">
        <f>SUM(E191:E192)</f>
        <v>9498213.7</v>
      </c>
      <c r="F193" s="1172">
        <f>SUM(F191:F192)</f>
        <v>0</v>
      </c>
    </row>
    <row r="194" spans="1:6" ht="13.5" thickTop="1">
      <c r="A194" s="1150" t="s">
        <v>3507</v>
      </c>
      <c r="B194" s="1151" t="s">
        <v>3422</v>
      </c>
      <c r="C194" s="1152">
        <f aca="true" t="shared" si="10" ref="C194:F195">SUM(C188,C191)</f>
        <v>3715877000</v>
      </c>
      <c r="D194" s="1152">
        <f t="shared" si="10"/>
        <v>4505413000</v>
      </c>
      <c r="E194" s="1152">
        <f t="shared" si="10"/>
        <v>3840711600.41</v>
      </c>
      <c r="F194" s="1153">
        <f t="shared" si="10"/>
        <v>743767383.1099999</v>
      </c>
    </row>
    <row r="195" spans="1:6" ht="12.75">
      <c r="A195" s="1154" t="s">
        <v>3507</v>
      </c>
      <c r="B195" s="1155" t="s">
        <v>3423</v>
      </c>
      <c r="C195" s="1156">
        <f t="shared" si="10"/>
        <v>132989000</v>
      </c>
      <c r="D195" s="1156">
        <f t="shared" si="10"/>
        <v>235026000</v>
      </c>
      <c r="E195" s="1156">
        <f t="shared" si="10"/>
        <v>158465705.98000002</v>
      </c>
      <c r="F195" s="1157">
        <f t="shared" si="10"/>
        <v>76534264.82000001</v>
      </c>
    </row>
    <row r="196" spans="1:6" ht="13.5" thickBot="1">
      <c r="A196" s="1173" t="s">
        <v>3507</v>
      </c>
      <c r="B196" s="1174"/>
      <c r="C196" s="1175">
        <f>SUM(C194,C195)</f>
        <v>3848866000</v>
      </c>
      <c r="D196" s="1175">
        <f>SUM(D194:D195)</f>
        <v>4740439000</v>
      </c>
      <c r="E196" s="1175">
        <f>SUM(E194:E195)</f>
        <v>3999177306.39</v>
      </c>
      <c r="F196" s="1176">
        <f>SUM(F194:F195)</f>
        <v>820301647.93</v>
      </c>
    </row>
    <row r="197" ht="13.5" thickTop="1"/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2"/>
  <sheetViews>
    <sheetView workbookViewId="0" topLeftCell="A1">
      <selection activeCell="A23" sqref="A23"/>
    </sheetView>
  </sheetViews>
  <sheetFormatPr defaultColWidth="9.00390625" defaultRowHeight="12.75"/>
  <cols>
    <col min="1" max="1" width="11.375" style="1837" customWidth="1"/>
    <col min="2" max="2" width="52.875" style="693" customWidth="1"/>
    <col min="3" max="3" width="31.625" style="693" customWidth="1"/>
    <col min="4" max="4" width="6.50390625" style="693" bestFit="1" customWidth="1"/>
    <col min="5" max="8" width="15.50390625" style="1836" bestFit="1" customWidth="1"/>
    <col min="9" max="16384" width="9.125" style="693" customWidth="1"/>
  </cols>
  <sheetData>
    <row r="1" spans="1:8" ht="12.75">
      <c r="A1" s="1888" t="s">
        <v>3814</v>
      </c>
      <c r="B1" s="1888"/>
      <c r="C1" s="1888"/>
      <c r="D1" s="1888"/>
      <c r="E1" s="1888"/>
      <c r="F1" s="1888"/>
      <c r="G1" s="1888"/>
      <c r="H1" s="1888"/>
    </row>
    <row r="2" spans="1:8" ht="12.75">
      <c r="A2" s="1816"/>
      <c r="C2" s="693"/>
      <c r="E2" s="392"/>
      <c r="F2" s="392"/>
      <c r="G2" s="392"/>
      <c r="H2" s="1817" t="s">
        <v>2597</v>
      </c>
    </row>
    <row r="3" spans="1:8" s="174" customFormat="1" ht="12.75">
      <c r="A3" s="1818" t="s">
        <v>3815</v>
      </c>
      <c r="B3" s="1819" t="s">
        <v>3816</v>
      </c>
      <c r="C3" s="1819" t="s">
        <v>3817</v>
      </c>
      <c r="D3" s="1819" t="s">
        <v>3418</v>
      </c>
      <c r="E3" s="1820" t="s">
        <v>2584</v>
      </c>
      <c r="F3" s="1821" t="s">
        <v>2585</v>
      </c>
      <c r="G3" s="1821" t="s">
        <v>3419</v>
      </c>
      <c r="H3" s="1821" t="s">
        <v>3420</v>
      </c>
    </row>
    <row r="4" spans="1:8" ht="12.75">
      <c r="A4" s="1822" t="s">
        <v>3818</v>
      </c>
      <c r="B4" s="379" t="s">
        <v>3819</v>
      </c>
      <c r="C4" s="1823" t="s">
        <v>2643</v>
      </c>
      <c r="D4" s="379" t="s">
        <v>3422</v>
      </c>
      <c r="E4" s="1168">
        <v>6897000</v>
      </c>
      <c r="F4" s="1168">
        <v>6897000</v>
      </c>
      <c r="G4" s="1168">
        <v>0</v>
      </c>
      <c r="H4" s="1168">
        <v>6897000</v>
      </c>
    </row>
    <row r="5" spans="1:8" ht="12.75">
      <c r="A5" s="1822" t="s">
        <v>3820</v>
      </c>
      <c r="B5" s="379" t="s">
        <v>3821</v>
      </c>
      <c r="C5" s="1823" t="s">
        <v>2643</v>
      </c>
      <c r="D5" s="379" t="s">
        <v>3422</v>
      </c>
      <c r="E5" s="1168">
        <v>23400000</v>
      </c>
      <c r="F5" s="1168">
        <v>23400000</v>
      </c>
      <c r="G5" s="1168">
        <v>23319920.5</v>
      </c>
      <c r="H5" s="1168">
        <v>80079.5</v>
      </c>
    </row>
    <row r="6" spans="1:8" ht="12.75">
      <c r="A6" s="1822">
        <v>2140114003</v>
      </c>
      <c r="B6" s="379" t="s">
        <v>3822</v>
      </c>
      <c r="C6" s="1823" t="s">
        <v>2643</v>
      </c>
      <c r="D6" s="379" t="s">
        <v>3422</v>
      </c>
      <c r="E6" s="1168">
        <v>11500000</v>
      </c>
      <c r="F6" s="1168">
        <v>0</v>
      </c>
      <c r="G6" s="1168">
        <v>0</v>
      </c>
      <c r="H6" s="1168">
        <v>0</v>
      </c>
    </row>
    <row r="7" spans="1:8" ht="12.75">
      <c r="A7" s="1822" t="s">
        <v>3823</v>
      </c>
      <c r="B7" s="379" t="s">
        <v>3824</v>
      </c>
      <c r="C7" s="1823" t="s">
        <v>2643</v>
      </c>
      <c r="D7" s="379" t="s">
        <v>3422</v>
      </c>
      <c r="E7" s="1168">
        <v>13100000</v>
      </c>
      <c r="F7" s="1168">
        <v>7001000</v>
      </c>
      <c r="G7" s="1168">
        <v>7000259.5</v>
      </c>
      <c r="H7" s="1168">
        <v>740.5</v>
      </c>
    </row>
    <row r="8" spans="1:8" ht="12.75">
      <c r="A8" s="1822" t="s">
        <v>3825</v>
      </c>
      <c r="B8" s="379" t="s">
        <v>3826</v>
      </c>
      <c r="C8" s="1823" t="s">
        <v>2643</v>
      </c>
      <c r="D8" s="379" t="s">
        <v>3422</v>
      </c>
      <c r="E8" s="1168">
        <v>8600000</v>
      </c>
      <c r="F8" s="1168">
        <v>4973000</v>
      </c>
      <c r="G8" s="1168">
        <v>4972944.6</v>
      </c>
      <c r="H8" s="1168">
        <v>55.4</v>
      </c>
    </row>
    <row r="9" spans="1:8" ht="12.75">
      <c r="A9" s="1822" t="s">
        <v>3827</v>
      </c>
      <c r="B9" s="379" t="s">
        <v>3828</v>
      </c>
      <c r="C9" s="1823" t="s">
        <v>2643</v>
      </c>
      <c r="D9" s="379" t="s">
        <v>3422</v>
      </c>
      <c r="E9" s="1168">
        <v>4000000</v>
      </c>
      <c r="F9" s="1168">
        <v>4437000</v>
      </c>
      <c r="G9" s="1168">
        <v>4435606.5</v>
      </c>
      <c r="H9" s="1168">
        <v>1393.5</v>
      </c>
    </row>
    <row r="10" spans="1:8" ht="12.75">
      <c r="A10" s="1822" t="s">
        <v>3829</v>
      </c>
      <c r="B10" s="379" t="s">
        <v>3830</v>
      </c>
      <c r="C10" s="1823" t="s">
        <v>2643</v>
      </c>
      <c r="D10" s="379" t="s">
        <v>3422</v>
      </c>
      <c r="E10" s="1168">
        <v>2650000</v>
      </c>
      <c r="F10" s="1168">
        <v>1527000</v>
      </c>
      <c r="G10" s="1168">
        <v>1525792.14</v>
      </c>
      <c r="H10" s="1168">
        <v>1207.86</v>
      </c>
    </row>
    <row r="11" spans="1:8" ht="12.75">
      <c r="A11" s="1822" t="s">
        <v>3829</v>
      </c>
      <c r="B11" s="379" t="s">
        <v>3830</v>
      </c>
      <c r="C11" s="1823" t="s">
        <v>2643</v>
      </c>
      <c r="D11" s="379" t="s">
        <v>3423</v>
      </c>
      <c r="E11" s="1168">
        <v>0</v>
      </c>
      <c r="F11" s="1168">
        <v>125000</v>
      </c>
      <c r="G11" s="1168">
        <v>124206.96</v>
      </c>
      <c r="H11" s="1168">
        <v>793.04</v>
      </c>
    </row>
    <row r="12" spans="1:8" ht="12.75">
      <c r="A12" s="1822" t="s">
        <v>3831</v>
      </c>
      <c r="B12" s="379" t="s">
        <v>3832</v>
      </c>
      <c r="C12" s="1823" t="s">
        <v>2643</v>
      </c>
      <c r="D12" s="379" t="s">
        <v>3422</v>
      </c>
      <c r="E12" s="1168">
        <v>3500000</v>
      </c>
      <c r="F12" s="1168">
        <v>3432000</v>
      </c>
      <c r="G12" s="1168">
        <v>3431448.8</v>
      </c>
      <c r="H12" s="1168">
        <v>551.2</v>
      </c>
    </row>
    <row r="13" spans="1:8" ht="12.75">
      <c r="A13" s="1822" t="s">
        <v>3833</v>
      </c>
      <c r="B13" s="379" t="s">
        <v>3834</v>
      </c>
      <c r="C13" s="1823" t="s">
        <v>2643</v>
      </c>
      <c r="D13" s="379" t="s">
        <v>3422</v>
      </c>
      <c r="E13" s="1168">
        <v>4000000</v>
      </c>
      <c r="F13" s="1168">
        <v>4495000</v>
      </c>
      <c r="G13" s="1168">
        <v>4494012.6</v>
      </c>
      <c r="H13" s="1168">
        <v>987.4</v>
      </c>
    </row>
    <row r="14" spans="1:8" ht="12.75">
      <c r="A14" s="1822" t="s">
        <v>3833</v>
      </c>
      <c r="B14" s="379" t="s">
        <v>3834</v>
      </c>
      <c r="C14" s="1823" t="s">
        <v>2643</v>
      </c>
      <c r="D14" s="379" t="s">
        <v>3423</v>
      </c>
      <c r="E14" s="1168">
        <v>0</v>
      </c>
      <c r="F14" s="1168">
        <v>1538000</v>
      </c>
      <c r="G14" s="1168">
        <v>1537265.8</v>
      </c>
      <c r="H14" s="1168">
        <v>734.2</v>
      </c>
    </row>
    <row r="15" spans="1:8" ht="12.75">
      <c r="A15" s="1822" t="s">
        <v>3835</v>
      </c>
      <c r="B15" s="379" t="s">
        <v>3836</v>
      </c>
      <c r="C15" s="1823" t="s">
        <v>2643</v>
      </c>
      <c r="D15" s="379" t="s">
        <v>3422</v>
      </c>
      <c r="E15" s="1168">
        <v>2900000</v>
      </c>
      <c r="F15" s="1168">
        <v>5857000</v>
      </c>
      <c r="G15" s="1168">
        <v>5855595.4</v>
      </c>
      <c r="H15" s="1168">
        <v>1404.6</v>
      </c>
    </row>
    <row r="16" spans="1:8" ht="12.75">
      <c r="A16" s="1822" t="s">
        <v>3835</v>
      </c>
      <c r="B16" s="379" t="s">
        <v>3836</v>
      </c>
      <c r="C16" s="1823" t="s">
        <v>2643</v>
      </c>
      <c r="D16" s="379" t="s">
        <v>3423</v>
      </c>
      <c r="E16" s="1168">
        <v>0</v>
      </c>
      <c r="F16" s="1168">
        <v>8000</v>
      </c>
      <c r="G16" s="1168">
        <v>7269.3</v>
      </c>
      <c r="H16" s="1168">
        <v>730.7</v>
      </c>
    </row>
    <row r="17" spans="1:8" ht="12.75">
      <c r="A17" s="1822">
        <v>2140114011</v>
      </c>
      <c r="B17" s="379" t="s">
        <v>3837</v>
      </c>
      <c r="C17" s="1823" t="s">
        <v>2643</v>
      </c>
      <c r="D17" s="379" t="s">
        <v>3422</v>
      </c>
      <c r="E17" s="1168">
        <v>500000</v>
      </c>
      <c r="F17" s="1168">
        <v>500000</v>
      </c>
      <c r="G17" s="1168">
        <v>499514.4</v>
      </c>
      <c r="H17" s="1168">
        <v>485.6</v>
      </c>
    </row>
    <row r="18" spans="1:8" ht="12.75">
      <c r="A18" s="1822" t="s">
        <v>3838</v>
      </c>
      <c r="B18" s="379" t="s">
        <v>3839</v>
      </c>
      <c r="C18" s="1823" t="s">
        <v>2643</v>
      </c>
      <c r="D18" s="379" t="s">
        <v>3422</v>
      </c>
      <c r="E18" s="1168">
        <v>880000</v>
      </c>
      <c r="F18" s="1168">
        <v>120000</v>
      </c>
      <c r="G18" s="1168">
        <v>0</v>
      </c>
      <c r="H18" s="1168">
        <v>120000</v>
      </c>
    </row>
    <row r="19" spans="1:8" ht="12.75">
      <c r="A19" s="1822">
        <v>2140114013</v>
      </c>
      <c r="B19" s="379" t="s">
        <v>3840</v>
      </c>
      <c r="C19" s="1823" t="s">
        <v>2643</v>
      </c>
      <c r="D19" s="379" t="s">
        <v>3422</v>
      </c>
      <c r="E19" s="1168">
        <v>1000000</v>
      </c>
      <c r="F19" s="1168">
        <v>0</v>
      </c>
      <c r="G19" s="1168">
        <v>0</v>
      </c>
      <c r="H19" s="1168">
        <v>0</v>
      </c>
    </row>
    <row r="20" spans="1:8" ht="12.75">
      <c r="A20" s="1822" t="s">
        <v>3841</v>
      </c>
      <c r="B20" s="379" t="s">
        <v>3842</v>
      </c>
      <c r="C20" s="1823" t="s">
        <v>2643</v>
      </c>
      <c r="D20" s="379" t="s">
        <v>3423</v>
      </c>
      <c r="E20" s="1168">
        <v>6460000</v>
      </c>
      <c r="F20" s="1168">
        <v>6460000</v>
      </c>
      <c r="G20" s="1168">
        <v>6445927.74</v>
      </c>
      <c r="H20" s="1168">
        <v>14072.26</v>
      </c>
    </row>
    <row r="21" spans="1:8" ht="12.75">
      <c r="A21" s="1822" t="s">
        <v>3843</v>
      </c>
      <c r="B21" s="379" t="s">
        <v>3844</v>
      </c>
      <c r="C21" s="1823" t="s">
        <v>2643</v>
      </c>
      <c r="D21" s="379" t="s">
        <v>3422</v>
      </c>
      <c r="E21" s="1168">
        <v>5270000</v>
      </c>
      <c r="F21" s="1168">
        <v>4472000</v>
      </c>
      <c r="G21" s="1168">
        <v>1845706.58</v>
      </c>
      <c r="H21" s="1168">
        <v>2626293.42</v>
      </c>
    </row>
    <row r="22" spans="1:8" ht="12.75">
      <c r="A22" s="1822" t="s">
        <v>3843</v>
      </c>
      <c r="B22" s="379" t="s">
        <v>3844</v>
      </c>
      <c r="C22" s="1823" t="s">
        <v>2643</v>
      </c>
      <c r="D22" s="379" t="s">
        <v>3423</v>
      </c>
      <c r="E22" s="1168">
        <v>690000</v>
      </c>
      <c r="F22" s="1168">
        <v>1488000</v>
      </c>
      <c r="G22" s="1168">
        <v>1336993.19</v>
      </c>
      <c r="H22" s="1168">
        <v>151006.81</v>
      </c>
    </row>
    <row r="23" spans="1:8" ht="12.75">
      <c r="A23" s="1822" t="s">
        <v>3845</v>
      </c>
      <c r="B23" s="379" t="s">
        <v>3846</v>
      </c>
      <c r="C23" s="1823" t="s">
        <v>2643</v>
      </c>
      <c r="D23" s="379" t="s">
        <v>3422</v>
      </c>
      <c r="E23" s="1168">
        <v>3474000</v>
      </c>
      <c r="F23" s="1168">
        <v>3930000</v>
      </c>
      <c r="G23" s="1168">
        <v>3891049.27</v>
      </c>
      <c r="H23" s="1168">
        <v>38950.73</v>
      </c>
    </row>
    <row r="24" spans="1:8" ht="12.75">
      <c r="A24" s="1822" t="s">
        <v>3845</v>
      </c>
      <c r="B24" s="379" t="s">
        <v>3846</v>
      </c>
      <c r="C24" s="1823" t="s">
        <v>2643</v>
      </c>
      <c r="D24" s="379" t="s">
        <v>3423</v>
      </c>
      <c r="E24" s="1168">
        <v>3656000</v>
      </c>
      <c r="F24" s="1168">
        <v>3200000</v>
      </c>
      <c r="G24" s="1168">
        <v>2580069.5</v>
      </c>
      <c r="H24" s="1168">
        <v>619930.5</v>
      </c>
    </row>
    <row r="25" spans="1:8" ht="12.75">
      <c r="A25" s="1822" t="s">
        <v>3847</v>
      </c>
      <c r="B25" s="379" t="s">
        <v>3848</v>
      </c>
      <c r="C25" s="1823" t="s">
        <v>2643</v>
      </c>
      <c r="D25" s="379" t="s">
        <v>3422</v>
      </c>
      <c r="E25" s="1168">
        <v>9550000</v>
      </c>
      <c r="F25" s="1168">
        <v>11442000</v>
      </c>
      <c r="G25" s="1168">
        <v>3532742.38</v>
      </c>
      <c r="H25" s="1168">
        <v>7909257.62</v>
      </c>
    </row>
    <row r="26" spans="1:8" ht="12.75">
      <c r="A26" s="1822" t="s">
        <v>3847</v>
      </c>
      <c r="B26" s="379" t="s">
        <v>3848</v>
      </c>
      <c r="C26" s="1823" t="s">
        <v>2643</v>
      </c>
      <c r="D26" s="379" t="s">
        <v>3423</v>
      </c>
      <c r="E26" s="1168">
        <v>0</v>
      </c>
      <c r="F26" s="1168">
        <v>131000</v>
      </c>
      <c r="G26" s="1168">
        <v>129627.3</v>
      </c>
      <c r="H26" s="1168">
        <v>1372.7</v>
      </c>
    </row>
    <row r="27" spans="1:8" ht="12.75">
      <c r="A27" s="1822" t="s">
        <v>3849</v>
      </c>
      <c r="B27" s="379" t="s">
        <v>3850</v>
      </c>
      <c r="C27" s="1823" t="s">
        <v>2643</v>
      </c>
      <c r="D27" s="379" t="s">
        <v>3422</v>
      </c>
      <c r="E27" s="1168">
        <v>440000</v>
      </c>
      <c r="F27" s="1168">
        <v>155000</v>
      </c>
      <c r="G27" s="1168">
        <v>0</v>
      </c>
      <c r="H27" s="1168">
        <v>155000</v>
      </c>
    </row>
    <row r="28" spans="1:8" ht="12.75">
      <c r="A28" s="1822" t="s">
        <v>3849</v>
      </c>
      <c r="B28" s="379" t="s">
        <v>3850</v>
      </c>
      <c r="C28" s="1823" t="s">
        <v>2643</v>
      </c>
      <c r="D28" s="379" t="s">
        <v>3423</v>
      </c>
      <c r="E28" s="1168">
        <v>0</v>
      </c>
      <c r="F28" s="1168">
        <v>285000</v>
      </c>
      <c r="G28" s="1168">
        <v>284648</v>
      </c>
      <c r="H28" s="1168">
        <v>352</v>
      </c>
    </row>
    <row r="29" spans="1:8" ht="12.75">
      <c r="A29" s="1822" t="s">
        <v>3851</v>
      </c>
      <c r="B29" s="379" t="s">
        <v>3852</v>
      </c>
      <c r="C29" s="1823" t="s">
        <v>2643</v>
      </c>
      <c r="D29" s="379" t="s">
        <v>3422</v>
      </c>
      <c r="E29" s="1168">
        <v>1535000</v>
      </c>
      <c r="F29" s="1168">
        <v>801000</v>
      </c>
      <c r="G29" s="1168">
        <v>798194.88</v>
      </c>
      <c r="H29" s="1168">
        <v>2805.12</v>
      </c>
    </row>
    <row r="30" spans="1:8" ht="12.75">
      <c r="A30" s="1822" t="s">
        <v>3851</v>
      </c>
      <c r="B30" s="379" t="s">
        <v>3852</v>
      </c>
      <c r="C30" s="1823" t="s">
        <v>2643</v>
      </c>
      <c r="D30" s="379" t="s">
        <v>3423</v>
      </c>
      <c r="E30" s="1168">
        <v>0</v>
      </c>
      <c r="F30" s="1168">
        <v>323000</v>
      </c>
      <c r="G30" s="1168">
        <v>322394.99</v>
      </c>
      <c r="H30" s="1168">
        <v>605.01</v>
      </c>
    </row>
    <row r="31" spans="1:8" ht="12.75">
      <c r="A31" s="1822" t="s">
        <v>3853</v>
      </c>
      <c r="B31" s="379" t="s">
        <v>3854</v>
      </c>
      <c r="C31" s="1823" t="s">
        <v>2643</v>
      </c>
      <c r="D31" s="379" t="s">
        <v>3422</v>
      </c>
      <c r="E31" s="1168">
        <v>2180000</v>
      </c>
      <c r="F31" s="1168">
        <v>1572000</v>
      </c>
      <c r="G31" s="1168">
        <v>1571585.4</v>
      </c>
      <c r="H31" s="1168">
        <v>414.6</v>
      </c>
    </row>
    <row r="32" spans="1:8" ht="12.75">
      <c r="A32" s="1822" t="s">
        <v>3855</v>
      </c>
      <c r="B32" s="379" t="s">
        <v>3856</v>
      </c>
      <c r="C32" s="1823" t="s">
        <v>2643</v>
      </c>
      <c r="D32" s="379" t="s">
        <v>3422</v>
      </c>
      <c r="E32" s="1168">
        <v>880000</v>
      </c>
      <c r="F32" s="1168">
        <v>631000</v>
      </c>
      <c r="G32" s="1168">
        <v>630366.8</v>
      </c>
      <c r="H32" s="1168">
        <v>633.2</v>
      </c>
    </row>
    <row r="33" spans="1:8" ht="12.75">
      <c r="A33" s="1822" t="s">
        <v>3855</v>
      </c>
      <c r="B33" s="379" t="s">
        <v>3856</v>
      </c>
      <c r="C33" s="1823" t="s">
        <v>2643</v>
      </c>
      <c r="D33" s="379" t="s">
        <v>3423</v>
      </c>
      <c r="E33" s="1168">
        <v>0</v>
      </c>
      <c r="F33" s="1168">
        <v>188000</v>
      </c>
      <c r="G33" s="1168">
        <v>187425</v>
      </c>
      <c r="H33" s="1168">
        <v>575</v>
      </c>
    </row>
    <row r="34" spans="1:8" ht="12.75">
      <c r="A34" s="1822" t="s">
        <v>3857</v>
      </c>
      <c r="B34" s="379" t="s">
        <v>3858</v>
      </c>
      <c r="C34" s="1823" t="s">
        <v>2643</v>
      </c>
      <c r="D34" s="379" t="s">
        <v>3422</v>
      </c>
      <c r="E34" s="1168">
        <v>798000</v>
      </c>
      <c r="F34" s="1168">
        <v>609000</v>
      </c>
      <c r="G34" s="1168">
        <v>608804</v>
      </c>
      <c r="H34" s="1168">
        <v>196</v>
      </c>
    </row>
    <row r="35" spans="1:8" ht="12.75">
      <c r="A35" s="1822" t="s">
        <v>3857</v>
      </c>
      <c r="B35" s="379" t="s">
        <v>3858</v>
      </c>
      <c r="C35" s="1823" t="s">
        <v>2643</v>
      </c>
      <c r="D35" s="379" t="s">
        <v>3423</v>
      </c>
      <c r="E35" s="1168">
        <v>0</v>
      </c>
      <c r="F35" s="1168">
        <v>53000</v>
      </c>
      <c r="G35" s="1168">
        <v>52301</v>
      </c>
      <c r="H35" s="1168">
        <v>699</v>
      </c>
    </row>
    <row r="36" spans="1:8" ht="12.75">
      <c r="A36" s="1822" t="s">
        <v>3859</v>
      </c>
      <c r="B36" s="379" t="s">
        <v>3860</v>
      </c>
      <c r="C36" s="1823" t="s">
        <v>2643</v>
      </c>
      <c r="D36" s="379" t="s">
        <v>3422</v>
      </c>
      <c r="E36" s="1168">
        <v>430000</v>
      </c>
      <c r="F36" s="1168">
        <v>290000</v>
      </c>
      <c r="G36" s="1168">
        <v>289503.2</v>
      </c>
      <c r="H36" s="1168">
        <v>496.8</v>
      </c>
    </row>
    <row r="37" spans="1:8" ht="12.75">
      <c r="A37" s="1822" t="s">
        <v>3861</v>
      </c>
      <c r="B37" s="379" t="s">
        <v>3862</v>
      </c>
      <c r="C37" s="1823" t="s">
        <v>2643</v>
      </c>
      <c r="D37" s="379" t="s">
        <v>3422</v>
      </c>
      <c r="E37" s="1168">
        <v>1200000</v>
      </c>
      <c r="F37" s="1168">
        <v>622000</v>
      </c>
      <c r="G37" s="1168">
        <v>621632.3</v>
      </c>
      <c r="H37" s="1168">
        <v>367.7</v>
      </c>
    </row>
    <row r="38" spans="1:8" ht="12.75">
      <c r="A38" s="1822" t="s">
        <v>3863</v>
      </c>
      <c r="B38" s="379" t="s">
        <v>3864</v>
      </c>
      <c r="C38" s="1823" t="s">
        <v>2643</v>
      </c>
      <c r="D38" s="379" t="s">
        <v>3422</v>
      </c>
      <c r="E38" s="1168">
        <v>14700000</v>
      </c>
      <c r="F38" s="1168">
        <v>9977000</v>
      </c>
      <c r="G38" s="1168">
        <v>9025037</v>
      </c>
      <c r="H38" s="1168">
        <v>951963</v>
      </c>
    </row>
    <row r="39" spans="1:8" ht="12.75">
      <c r="A39" s="1822" t="s">
        <v>3863</v>
      </c>
      <c r="B39" s="379" t="s">
        <v>3864</v>
      </c>
      <c r="C39" s="1823" t="s">
        <v>2643</v>
      </c>
      <c r="D39" s="379" t="s">
        <v>3423</v>
      </c>
      <c r="E39" s="1168">
        <v>0</v>
      </c>
      <c r="F39" s="1168">
        <v>2249000</v>
      </c>
      <c r="G39" s="1168">
        <v>2211138.8</v>
      </c>
      <c r="H39" s="1168">
        <v>37861.2</v>
      </c>
    </row>
    <row r="40" spans="1:8" ht="12.75">
      <c r="A40" s="1822">
        <v>2140114027</v>
      </c>
      <c r="B40" s="379" t="s">
        <v>3865</v>
      </c>
      <c r="C40" s="1823" t="s">
        <v>2643</v>
      </c>
      <c r="D40" s="379" t="s">
        <v>3423</v>
      </c>
      <c r="E40" s="1168">
        <v>3500000</v>
      </c>
      <c r="F40" s="1168">
        <v>0</v>
      </c>
      <c r="G40" s="1168">
        <v>0</v>
      </c>
      <c r="H40" s="1168">
        <v>0</v>
      </c>
    </row>
    <row r="41" spans="1:8" ht="12.75">
      <c r="A41" s="1822" t="s">
        <v>3866</v>
      </c>
      <c r="B41" s="379" t="s">
        <v>3867</v>
      </c>
      <c r="C41" s="1823" t="s">
        <v>2643</v>
      </c>
      <c r="D41" s="379" t="s">
        <v>3422</v>
      </c>
      <c r="E41" s="1168">
        <v>14984000</v>
      </c>
      <c r="F41" s="1168">
        <v>14029000</v>
      </c>
      <c r="G41" s="1168">
        <v>13997523.03</v>
      </c>
      <c r="H41" s="1168">
        <v>31476.97</v>
      </c>
    </row>
    <row r="42" spans="1:8" ht="12.75">
      <c r="A42" s="1822" t="s">
        <v>3866</v>
      </c>
      <c r="B42" s="379" t="s">
        <v>3867</v>
      </c>
      <c r="C42" s="1823" t="s">
        <v>2643</v>
      </c>
      <c r="D42" s="379" t="s">
        <v>3423</v>
      </c>
      <c r="E42" s="1168">
        <v>2278000</v>
      </c>
      <c r="F42" s="1168">
        <v>425000</v>
      </c>
      <c r="G42" s="1168">
        <v>423618.01</v>
      </c>
      <c r="H42" s="1168">
        <v>1381.99</v>
      </c>
    </row>
    <row r="43" spans="1:8" ht="12.75">
      <c r="A43" s="1822" t="s">
        <v>3868</v>
      </c>
      <c r="B43" s="379" t="s">
        <v>3869</v>
      </c>
      <c r="C43" s="1823" t="s">
        <v>2643</v>
      </c>
      <c r="D43" s="379" t="s">
        <v>3422</v>
      </c>
      <c r="E43" s="1168">
        <v>17960000</v>
      </c>
      <c r="F43" s="1168">
        <v>17053000</v>
      </c>
      <c r="G43" s="1168">
        <v>17050679.31</v>
      </c>
      <c r="H43" s="1168">
        <v>2320.69</v>
      </c>
    </row>
    <row r="44" spans="1:8" ht="12.75">
      <c r="A44" s="1822" t="s">
        <v>3868</v>
      </c>
      <c r="B44" s="379" t="s">
        <v>3869</v>
      </c>
      <c r="C44" s="1823" t="s">
        <v>2643</v>
      </c>
      <c r="D44" s="379" t="s">
        <v>3423</v>
      </c>
      <c r="E44" s="1168">
        <v>16653000</v>
      </c>
      <c r="F44" s="1168">
        <v>15081000</v>
      </c>
      <c r="G44" s="1168">
        <v>14607516.7</v>
      </c>
      <c r="H44" s="1168">
        <v>473483.3</v>
      </c>
    </row>
    <row r="45" spans="1:8" ht="12.75">
      <c r="A45" s="1822" t="s">
        <v>3870</v>
      </c>
      <c r="B45" s="379" t="s">
        <v>3871</v>
      </c>
      <c r="C45" s="1823" t="s">
        <v>2643</v>
      </c>
      <c r="D45" s="379" t="s">
        <v>3423</v>
      </c>
      <c r="E45" s="1168">
        <v>8351000</v>
      </c>
      <c r="F45" s="1168">
        <v>8351000</v>
      </c>
      <c r="G45" s="1168">
        <v>6181595.11</v>
      </c>
      <c r="H45" s="1168">
        <v>2169404.89</v>
      </c>
    </row>
    <row r="46" spans="1:8" ht="12.75">
      <c r="A46" s="1822" t="s">
        <v>3872</v>
      </c>
      <c r="B46" s="379" t="s">
        <v>3873</v>
      </c>
      <c r="C46" s="1823" t="s">
        <v>2643</v>
      </c>
      <c r="D46" s="379" t="s">
        <v>3422</v>
      </c>
      <c r="E46" s="1168">
        <v>2180000</v>
      </c>
      <c r="F46" s="1168">
        <v>891000</v>
      </c>
      <c r="G46" s="1168">
        <v>188317.5</v>
      </c>
      <c r="H46" s="1168">
        <v>702682.5</v>
      </c>
    </row>
    <row r="47" spans="1:8" ht="12.75">
      <c r="A47" s="1822" t="s">
        <v>3872</v>
      </c>
      <c r="B47" s="379" t="s">
        <v>3873</v>
      </c>
      <c r="C47" s="1823" t="s">
        <v>2643</v>
      </c>
      <c r="D47" s="379" t="s">
        <v>3423</v>
      </c>
      <c r="E47" s="1168">
        <v>18567000</v>
      </c>
      <c r="F47" s="1168">
        <v>18839000</v>
      </c>
      <c r="G47" s="1168">
        <v>15438416.79</v>
      </c>
      <c r="H47" s="1168">
        <v>3400583.21</v>
      </c>
    </row>
    <row r="48" spans="1:8" ht="12.75">
      <c r="A48" s="1822" t="s">
        <v>3874</v>
      </c>
      <c r="B48" s="379" t="s">
        <v>3875</v>
      </c>
      <c r="C48" s="1823" t="s">
        <v>2643</v>
      </c>
      <c r="D48" s="379" t="s">
        <v>3422</v>
      </c>
      <c r="E48" s="1168">
        <v>1000000</v>
      </c>
      <c r="F48" s="1168">
        <v>1000000</v>
      </c>
      <c r="G48" s="1168">
        <v>492519.62</v>
      </c>
      <c r="H48" s="1168">
        <v>507480.38</v>
      </c>
    </row>
    <row r="49" spans="1:8" ht="12.75">
      <c r="A49" s="1822" t="s">
        <v>3876</v>
      </c>
      <c r="B49" s="379" t="s">
        <v>3877</v>
      </c>
      <c r="C49" s="1823" t="s">
        <v>2643</v>
      </c>
      <c r="D49" s="379" t="s">
        <v>3423</v>
      </c>
      <c r="E49" s="1168">
        <v>1213000</v>
      </c>
      <c r="F49" s="1168">
        <v>1213000</v>
      </c>
      <c r="G49" s="1168">
        <v>645575.11</v>
      </c>
      <c r="H49" s="1168">
        <v>567424.89</v>
      </c>
    </row>
    <row r="50" spans="1:8" ht="12.75">
      <c r="A50" s="1822" t="s">
        <v>3878</v>
      </c>
      <c r="B50" s="379" t="s">
        <v>3879</v>
      </c>
      <c r="C50" s="1823" t="s">
        <v>2643</v>
      </c>
      <c r="D50" s="379" t="s">
        <v>3423</v>
      </c>
      <c r="E50" s="1168">
        <v>534000</v>
      </c>
      <c r="F50" s="1168">
        <v>442000</v>
      </c>
      <c r="G50" s="1168">
        <v>264008.88</v>
      </c>
      <c r="H50" s="1168">
        <v>177991.12</v>
      </c>
    </row>
    <row r="51" spans="1:8" ht="12.75">
      <c r="A51" s="1822" t="s">
        <v>3880</v>
      </c>
      <c r="B51" s="379" t="s">
        <v>3881</v>
      </c>
      <c r="C51" s="1823" t="s">
        <v>2643</v>
      </c>
      <c r="D51" s="379" t="s">
        <v>3422</v>
      </c>
      <c r="E51" s="1168">
        <v>690000</v>
      </c>
      <c r="F51" s="1168">
        <v>820000</v>
      </c>
      <c r="G51" s="1168">
        <v>818910.4</v>
      </c>
      <c r="H51" s="1168">
        <v>1089.6</v>
      </c>
    </row>
    <row r="52" spans="1:8" ht="12.75">
      <c r="A52" s="1822" t="s">
        <v>3880</v>
      </c>
      <c r="B52" s="379" t="s">
        <v>3881</v>
      </c>
      <c r="C52" s="1823" t="s">
        <v>2643</v>
      </c>
      <c r="D52" s="379" t="s">
        <v>3423</v>
      </c>
      <c r="E52" s="1168">
        <v>151000</v>
      </c>
      <c r="F52" s="1168">
        <v>179000</v>
      </c>
      <c r="G52" s="1168">
        <v>114504.7</v>
      </c>
      <c r="H52" s="1168">
        <v>64495.3</v>
      </c>
    </row>
    <row r="53" spans="1:8" ht="12.75">
      <c r="A53" s="1822">
        <v>2140114036</v>
      </c>
      <c r="B53" s="379" t="s">
        <v>3882</v>
      </c>
      <c r="C53" s="1823" t="s">
        <v>2643</v>
      </c>
      <c r="D53" s="379" t="s">
        <v>3422</v>
      </c>
      <c r="E53" s="1168">
        <v>9000000</v>
      </c>
      <c r="F53" s="1168">
        <v>0</v>
      </c>
      <c r="G53" s="1168">
        <v>0</v>
      </c>
      <c r="H53" s="1168">
        <v>0</v>
      </c>
    </row>
    <row r="54" spans="1:8" ht="12.75">
      <c r="A54" s="1822">
        <v>2140114037</v>
      </c>
      <c r="B54" s="379" t="s">
        <v>3883</v>
      </c>
      <c r="C54" s="1823" t="s">
        <v>2643</v>
      </c>
      <c r="D54" s="379" t="s">
        <v>3422</v>
      </c>
      <c r="E54" s="1168">
        <v>3100000</v>
      </c>
      <c r="F54" s="1168">
        <v>0</v>
      </c>
      <c r="G54" s="1168">
        <v>0</v>
      </c>
      <c r="H54" s="1168">
        <v>0</v>
      </c>
    </row>
    <row r="55" spans="1:8" ht="12.75">
      <c r="A55" s="1822" t="s">
        <v>3884</v>
      </c>
      <c r="B55" s="379" t="s">
        <v>3885</v>
      </c>
      <c r="C55" s="1823" t="s">
        <v>2643</v>
      </c>
      <c r="D55" s="379" t="s">
        <v>3422</v>
      </c>
      <c r="E55" s="1168">
        <v>1764000</v>
      </c>
      <c r="F55" s="1168">
        <v>1606000</v>
      </c>
      <c r="G55" s="1168">
        <v>1121508.54</v>
      </c>
      <c r="H55" s="1168">
        <v>484491.46</v>
      </c>
    </row>
    <row r="56" spans="1:8" ht="12.75">
      <c r="A56" s="1822" t="s">
        <v>3884</v>
      </c>
      <c r="B56" s="379" t="s">
        <v>3885</v>
      </c>
      <c r="C56" s="1823" t="s">
        <v>2643</v>
      </c>
      <c r="D56" s="379" t="s">
        <v>3423</v>
      </c>
      <c r="E56" s="1168">
        <v>125000</v>
      </c>
      <c r="F56" s="1168">
        <v>125000</v>
      </c>
      <c r="G56" s="1168">
        <v>31416</v>
      </c>
      <c r="H56" s="1168">
        <v>93584</v>
      </c>
    </row>
    <row r="57" spans="1:8" ht="12.75">
      <c r="A57" s="1822" t="s">
        <v>3886</v>
      </c>
      <c r="B57" s="379" t="s">
        <v>3887</v>
      </c>
      <c r="C57" s="1823" t="s">
        <v>2643</v>
      </c>
      <c r="D57" s="379" t="s">
        <v>3422</v>
      </c>
      <c r="E57" s="1168">
        <v>8000000</v>
      </c>
      <c r="F57" s="1168">
        <v>8300000</v>
      </c>
      <c r="G57" s="1168">
        <v>8292629.74</v>
      </c>
      <c r="H57" s="1168">
        <v>7370.26</v>
      </c>
    </row>
    <row r="58" spans="1:8" ht="12.75">
      <c r="A58" s="1822" t="s">
        <v>3886</v>
      </c>
      <c r="B58" s="379" t="s">
        <v>3887</v>
      </c>
      <c r="C58" s="1823" t="s">
        <v>2643</v>
      </c>
      <c r="D58" s="379" t="s">
        <v>3423</v>
      </c>
      <c r="E58" s="1168">
        <v>0</v>
      </c>
      <c r="F58" s="1168">
        <v>150000</v>
      </c>
      <c r="G58" s="1168">
        <v>42366.3</v>
      </c>
      <c r="H58" s="1168">
        <v>107633.7</v>
      </c>
    </row>
    <row r="59" spans="1:8" ht="12.75">
      <c r="A59" s="1822" t="s">
        <v>3888</v>
      </c>
      <c r="B59" s="379" t="s">
        <v>3889</v>
      </c>
      <c r="C59" s="1823" t="s">
        <v>2643</v>
      </c>
      <c r="D59" s="379" t="s">
        <v>3422</v>
      </c>
      <c r="E59" s="1168">
        <v>1250000</v>
      </c>
      <c r="F59" s="1168">
        <v>1549000</v>
      </c>
      <c r="G59" s="1168">
        <v>1548417.86</v>
      </c>
      <c r="H59" s="1168">
        <v>582.14</v>
      </c>
    </row>
    <row r="60" spans="1:8" ht="12.75">
      <c r="A60" s="1822" t="s">
        <v>3890</v>
      </c>
      <c r="B60" s="379" t="s">
        <v>3891</v>
      </c>
      <c r="C60" s="1823" t="s">
        <v>2643</v>
      </c>
      <c r="D60" s="379" t="s">
        <v>3422</v>
      </c>
      <c r="E60" s="1168">
        <v>4160000</v>
      </c>
      <c r="F60" s="1168">
        <v>4137000</v>
      </c>
      <c r="G60" s="1168">
        <v>3262626</v>
      </c>
      <c r="H60" s="1168">
        <v>874374</v>
      </c>
    </row>
    <row r="61" spans="1:8" ht="12.75">
      <c r="A61" s="1822" t="s">
        <v>3890</v>
      </c>
      <c r="B61" s="379" t="s">
        <v>3891</v>
      </c>
      <c r="C61" s="1823" t="s">
        <v>2643</v>
      </c>
      <c r="D61" s="379" t="s">
        <v>3423</v>
      </c>
      <c r="E61" s="1168">
        <v>750000</v>
      </c>
      <c r="F61" s="1168">
        <v>750000</v>
      </c>
      <c r="G61" s="1168">
        <v>539023.95</v>
      </c>
      <c r="H61" s="1168">
        <v>210976.05</v>
      </c>
    </row>
    <row r="62" spans="1:8" ht="12.75">
      <c r="A62" s="1822" t="s">
        <v>3892</v>
      </c>
      <c r="B62" s="379" t="s">
        <v>3893</v>
      </c>
      <c r="C62" s="1823" t="s">
        <v>2643</v>
      </c>
      <c r="D62" s="379" t="s">
        <v>3422</v>
      </c>
      <c r="E62" s="1168">
        <v>21731000</v>
      </c>
      <c r="F62" s="1168">
        <v>21831000</v>
      </c>
      <c r="G62" s="1168">
        <v>21829877.61</v>
      </c>
      <c r="H62" s="1168">
        <v>1122.39</v>
      </c>
    </row>
    <row r="63" spans="1:8" ht="12.75">
      <c r="A63" s="1822" t="s">
        <v>3892</v>
      </c>
      <c r="B63" s="379" t="s">
        <v>3893</v>
      </c>
      <c r="C63" s="1823" t="s">
        <v>2643</v>
      </c>
      <c r="D63" s="379" t="s">
        <v>3423</v>
      </c>
      <c r="E63" s="1168">
        <v>800000</v>
      </c>
      <c r="F63" s="1168">
        <v>700000</v>
      </c>
      <c r="G63" s="1168">
        <v>53640.08</v>
      </c>
      <c r="H63" s="1168">
        <v>646359.92</v>
      </c>
    </row>
    <row r="64" spans="1:8" ht="12.75">
      <c r="A64" s="1822" t="s">
        <v>3894</v>
      </c>
      <c r="B64" s="379" t="s">
        <v>3895</v>
      </c>
      <c r="C64" s="1823" t="s">
        <v>2643</v>
      </c>
      <c r="D64" s="379" t="s">
        <v>3422</v>
      </c>
      <c r="E64" s="1168">
        <v>146000</v>
      </c>
      <c r="F64" s="1168">
        <v>2237000</v>
      </c>
      <c r="G64" s="1168">
        <v>512881.7</v>
      </c>
      <c r="H64" s="1168">
        <v>1724118.3</v>
      </c>
    </row>
    <row r="65" spans="1:8" ht="12.75">
      <c r="A65" s="1822" t="s">
        <v>3894</v>
      </c>
      <c r="B65" s="379" t="s">
        <v>3895</v>
      </c>
      <c r="C65" s="1823" t="s">
        <v>2643</v>
      </c>
      <c r="D65" s="379" t="s">
        <v>3423</v>
      </c>
      <c r="E65" s="1168">
        <v>4680000</v>
      </c>
      <c r="F65" s="1168">
        <v>2589000</v>
      </c>
      <c r="G65" s="1168">
        <v>2337178.07</v>
      </c>
      <c r="H65" s="1168">
        <v>251821.93</v>
      </c>
    </row>
    <row r="66" spans="1:8" ht="12.75">
      <c r="A66" s="1822" t="s">
        <v>3896</v>
      </c>
      <c r="B66" s="379" t="s">
        <v>3897</v>
      </c>
      <c r="C66" s="1823" t="s">
        <v>2643</v>
      </c>
      <c r="D66" s="379" t="s">
        <v>3422</v>
      </c>
      <c r="E66" s="1168">
        <v>108000</v>
      </c>
      <c r="F66" s="1168">
        <v>131000</v>
      </c>
      <c r="G66" s="1168">
        <v>130558</v>
      </c>
      <c r="H66" s="1168">
        <v>442</v>
      </c>
    </row>
    <row r="67" spans="1:8" ht="12.75">
      <c r="A67" s="1822" t="s">
        <v>3898</v>
      </c>
      <c r="B67" s="379" t="s">
        <v>3899</v>
      </c>
      <c r="C67" s="1823" t="s">
        <v>2643</v>
      </c>
      <c r="D67" s="379" t="s">
        <v>3422</v>
      </c>
      <c r="E67" s="1168">
        <v>19236000</v>
      </c>
      <c r="F67" s="1168">
        <v>18883000</v>
      </c>
      <c r="G67" s="1168">
        <v>18881408.8</v>
      </c>
      <c r="H67" s="1168">
        <v>1591.2</v>
      </c>
    </row>
    <row r="68" spans="1:8" ht="12.75">
      <c r="A68" s="1822" t="s">
        <v>3900</v>
      </c>
      <c r="B68" s="379" t="s">
        <v>3901</v>
      </c>
      <c r="C68" s="1823" t="s">
        <v>2643</v>
      </c>
      <c r="D68" s="379" t="s">
        <v>3423</v>
      </c>
      <c r="E68" s="1168">
        <v>9880000</v>
      </c>
      <c r="F68" s="1168">
        <v>10097000</v>
      </c>
      <c r="G68" s="1168">
        <v>10096031.4</v>
      </c>
      <c r="H68" s="1168">
        <v>968.6</v>
      </c>
    </row>
    <row r="69" spans="1:8" ht="12.75">
      <c r="A69" s="1822" t="s">
        <v>1304</v>
      </c>
      <c r="B69" s="379" t="s">
        <v>1305</v>
      </c>
      <c r="C69" s="1823" t="s">
        <v>2643</v>
      </c>
      <c r="D69" s="379" t="s">
        <v>3423</v>
      </c>
      <c r="E69" s="1168">
        <v>1227000</v>
      </c>
      <c r="F69" s="1168">
        <v>1297000</v>
      </c>
      <c r="G69" s="1168">
        <v>1295504.21</v>
      </c>
      <c r="H69" s="1168">
        <v>1495.79</v>
      </c>
    </row>
    <row r="70" spans="1:8" ht="12.75">
      <c r="A70" s="1822" t="s">
        <v>1306</v>
      </c>
      <c r="B70" s="379" t="s">
        <v>1307</v>
      </c>
      <c r="C70" s="1823" t="s">
        <v>2643</v>
      </c>
      <c r="D70" s="379" t="s">
        <v>3423</v>
      </c>
      <c r="E70" s="1168">
        <v>108000</v>
      </c>
      <c r="F70" s="1168">
        <v>80000</v>
      </c>
      <c r="G70" s="1168">
        <v>79634.8</v>
      </c>
      <c r="H70" s="1168">
        <v>365.2</v>
      </c>
    </row>
    <row r="71" spans="1:8" ht="12.75">
      <c r="A71" s="1822" t="s">
        <v>1308</v>
      </c>
      <c r="B71" s="379" t="s">
        <v>1309</v>
      </c>
      <c r="C71" s="1823" t="s">
        <v>2643</v>
      </c>
      <c r="D71" s="379" t="s">
        <v>3422</v>
      </c>
      <c r="E71" s="1168">
        <v>6270000</v>
      </c>
      <c r="F71" s="1168">
        <v>4840000</v>
      </c>
      <c r="G71" s="1168">
        <v>4839457.01</v>
      </c>
      <c r="H71" s="1168">
        <v>542.99</v>
      </c>
    </row>
    <row r="72" spans="1:8" ht="12.75">
      <c r="A72" s="1822" t="s">
        <v>1310</v>
      </c>
      <c r="B72" s="379" t="s">
        <v>1311</v>
      </c>
      <c r="C72" s="1823" t="s">
        <v>2643</v>
      </c>
      <c r="D72" s="379" t="s">
        <v>3422</v>
      </c>
      <c r="E72" s="1168">
        <v>870000</v>
      </c>
      <c r="F72" s="1168">
        <v>351000</v>
      </c>
      <c r="G72" s="1168">
        <v>350074.2</v>
      </c>
      <c r="H72" s="1168">
        <v>925.8</v>
      </c>
    </row>
    <row r="73" spans="1:8" ht="12.75">
      <c r="A73" s="1822" t="s">
        <v>1310</v>
      </c>
      <c r="B73" s="379" t="s">
        <v>1311</v>
      </c>
      <c r="C73" s="1823" t="s">
        <v>2643</v>
      </c>
      <c r="D73" s="379" t="s">
        <v>3423</v>
      </c>
      <c r="E73" s="1168">
        <v>150000</v>
      </c>
      <c r="F73" s="1168">
        <v>169000</v>
      </c>
      <c r="G73" s="1168">
        <v>167455.7</v>
      </c>
      <c r="H73" s="1168">
        <v>1544.3</v>
      </c>
    </row>
    <row r="74" spans="1:8" ht="12.75">
      <c r="A74" s="1822" t="s">
        <v>1312</v>
      </c>
      <c r="B74" s="379" t="s">
        <v>1313</v>
      </c>
      <c r="C74" s="1823" t="s">
        <v>2643</v>
      </c>
      <c r="D74" s="379" t="s">
        <v>3422</v>
      </c>
      <c r="E74" s="1168">
        <v>2054000</v>
      </c>
      <c r="F74" s="1168">
        <v>1822000</v>
      </c>
      <c r="G74" s="1168">
        <v>121296.7</v>
      </c>
      <c r="H74" s="1168">
        <v>1700703.3</v>
      </c>
    </row>
    <row r="75" spans="1:8" ht="12.75">
      <c r="A75" s="1822" t="s">
        <v>1312</v>
      </c>
      <c r="B75" s="379" t="s">
        <v>1313</v>
      </c>
      <c r="C75" s="1823" t="s">
        <v>2643</v>
      </c>
      <c r="D75" s="379" t="s">
        <v>3423</v>
      </c>
      <c r="E75" s="1168">
        <v>35000</v>
      </c>
      <c r="F75" s="1168">
        <v>22000</v>
      </c>
      <c r="G75" s="1168">
        <v>21035.15</v>
      </c>
      <c r="H75" s="1168">
        <v>964.85</v>
      </c>
    </row>
    <row r="76" spans="1:8" ht="12.75">
      <c r="A76" s="1822" t="s">
        <v>1314</v>
      </c>
      <c r="B76" s="379" t="s">
        <v>1315</v>
      </c>
      <c r="C76" s="1823" t="s">
        <v>2643</v>
      </c>
      <c r="D76" s="379" t="s">
        <v>3422</v>
      </c>
      <c r="E76" s="1168">
        <v>730000</v>
      </c>
      <c r="F76" s="1168">
        <v>962000</v>
      </c>
      <c r="G76" s="1168">
        <v>934031</v>
      </c>
      <c r="H76" s="1168">
        <v>27969</v>
      </c>
    </row>
    <row r="77" spans="1:8" ht="12.75">
      <c r="A77" s="1822" t="s">
        <v>1314</v>
      </c>
      <c r="B77" s="379" t="s">
        <v>1315</v>
      </c>
      <c r="C77" s="1823" t="s">
        <v>2643</v>
      </c>
      <c r="D77" s="379" t="s">
        <v>3423</v>
      </c>
      <c r="E77" s="1168">
        <v>869000</v>
      </c>
      <c r="F77" s="1168">
        <v>643000</v>
      </c>
      <c r="G77" s="1168">
        <v>641421.9</v>
      </c>
      <c r="H77" s="1168">
        <v>1578.1</v>
      </c>
    </row>
    <row r="78" spans="1:8" ht="12.75">
      <c r="A78" s="1822" t="s">
        <v>1316</v>
      </c>
      <c r="B78" s="379" t="s">
        <v>1317</v>
      </c>
      <c r="C78" s="1823" t="s">
        <v>2643</v>
      </c>
      <c r="D78" s="379" t="s">
        <v>3423</v>
      </c>
      <c r="E78" s="1168">
        <v>2000000</v>
      </c>
      <c r="F78" s="1168">
        <v>459000</v>
      </c>
      <c r="G78" s="1168">
        <v>458507</v>
      </c>
      <c r="H78" s="1168">
        <v>493</v>
      </c>
    </row>
    <row r="79" spans="1:8" ht="12.75">
      <c r="A79" s="1822" t="s">
        <v>1318</v>
      </c>
      <c r="B79" s="379" t="s">
        <v>1319</v>
      </c>
      <c r="C79" s="1823" t="s">
        <v>2643</v>
      </c>
      <c r="D79" s="379" t="s">
        <v>3422</v>
      </c>
      <c r="E79" s="1168">
        <v>600000</v>
      </c>
      <c r="F79" s="1168">
        <v>0</v>
      </c>
      <c r="G79" s="1168">
        <v>0</v>
      </c>
      <c r="H79" s="1168">
        <v>0</v>
      </c>
    </row>
    <row r="80" spans="1:8" ht="12.75">
      <c r="A80" s="1822" t="s">
        <v>1318</v>
      </c>
      <c r="B80" s="379" t="s">
        <v>1319</v>
      </c>
      <c r="C80" s="1823" t="s">
        <v>2643</v>
      </c>
      <c r="D80" s="379" t="s">
        <v>3423</v>
      </c>
      <c r="E80" s="1168">
        <v>174000</v>
      </c>
      <c r="F80" s="1168">
        <v>550000</v>
      </c>
      <c r="G80" s="1168">
        <v>549780</v>
      </c>
      <c r="H80" s="1168">
        <v>220</v>
      </c>
    </row>
    <row r="81" spans="1:8" ht="12.75">
      <c r="A81" s="1822" t="s">
        <v>1320</v>
      </c>
      <c r="B81" s="379" t="s">
        <v>1321</v>
      </c>
      <c r="C81" s="1823" t="s">
        <v>2643</v>
      </c>
      <c r="D81" s="379" t="s">
        <v>3422</v>
      </c>
      <c r="E81" s="1168">
        <v>7600000</v>
      </c>
      <c r="F81" s="1168">
        <v>6838000</v>
      </c>
      <c r="G81" s="1168">
        <v>6837416</v>
      </c>
      <c r="H81" s="1168">
        <v>584</v>
      </c>
    </row>
    <row r="82" spans="1:8" ht="12.75">
      <c r="A82" s="1822" t="s">
        <v>1322</v>
      </c>
      <c r="B82" s="379" t="s">
        <v>1323</v>
      </c>
      <c r="C82" s="1823" t="s">
        <v>2643</v>
      </c>
      <c r="D82" s="379" t="s">
        <v>3422</v>
      </c>
      <c r="E82" s="1168">
        <v>10000000</v>
      </c>
      <c r="F82" s="1168">
        <v>7960000</v>
      </c>
      <c r="G82" s="1168">
        <v>7959077</v>
      </c>
      <c r="H82" s="1168">
        <v>923</v>
      </c>
    </row>
    <row r="83" spans="1:8" ht="12.75">
      <c r="A83" s="1822" t="s">
        <v>1322</v>
      </c>
      <c r="B83" s="379" t="s">
        <v>1323</v>
      </c>
      <c r="C83" s="1823" t="s">
        <v>2643</v>
      </c>
      <c r="D83" s="379" t="s">
        <v>3423</v>
      </c>
      <c r="E83" s="1168">
        <v>0</v>
      </c>
      <c r="F83" s="1168">
        <v>1568000</v>
      </c>
      <c r="G83" s="1168">
        <v>1565207</v>
      </c>
      <c r="H83" s="1168">
        <v>2793</v>
      </c>
    </row>
    <row r="84" spans="1:8" ht="12.75">
      <c r="A84" s="1822" t="s">
        <v>1324</v>
      </c>
      <c r="B84" s="379" t="s">
        <v>1325</v>
      </c>
      <c r="C84" s="1823" t="s">
        <v>2643</v>
      </c>
      <c r="D84" s="379" t="s">
        <v>3423</v>
      </c>
      <c r="E84" s="1168">
        <v>7762000</v>
      </c>
      <c r="F84" s="1168">
        <v>6384000</v>
      </c>
      <c r="G84" s="1168">
        <v>6383944.21</v>
      </c>
      <c r="H84" s="1168">
        <v>55.79</v>
      </c>
    </row>
    <row r="85" spans="1:8" ht="12.75">
      <c r="A85" s="1822" t="s">
        <v>1326</v>
      </c>
      <c r="B85" s="379" t="s">
        <v>1327</v>
      </c>
      <c r="C85" s="1823" t="s">
        <v>2643</v>
      </c>
      <c r="D85" s="379" t="s">
        <v>3422</v>
      </c>
      <c r="E85" s="1168">
        <v>1764000</v>
      </c>
      <c r="F85" s="1168">
        <v>1479000</v>
      </c>
      <c r="G85" s="1168">
        <v>1018004.66</v>
      </c>
      <c r="H85" s="1168">
        <v>460995.34</v>
      </c>
    </row>
    <row r="86" spans="1:8" ht="12.75">
      <c r="A86" s="1822" t="s">
        <v>1326</v>
      </c>
      <c r="B86" s="379" t="s">
        <v>1327</v>
      </c>
      <c r="C86" s="1823" t="s">
        <v>2643</v>
      </c>
      <c r="D86" s="379" t="s">
        <v>3423</v>
      </c>
      <c r="E86" s="1168">
        <v>1716000</v>
      </c>
      <c r="F86" s="1168">
        <v>2001000</v>
      </c>
      <c r="G86" s="1168">
        <v>1959169.91</v>
      </c>
      <c r="H86" s="1168">
        <v>41830.09</v>
      </c>
    </row>
    <row r="87" spans="1:8" ht="12.75">
      <c r="A87" s="1822" t="s">
        <v>1328</v>
      </c>
      <c r="B87" s="379" t="s">
        <v>1329</v>
      </c>
      <c r="C87" s="1823" t="s">
        <v>2643</v>
      </c>
      <c r="D87" s="379" t="s">
        <v>3422</v>
      </c>
      <c r="E87" s="1168">
        <v>11250000</v>
      </c>
      <c r="F87" s="1168">
        <v>13779000</v>
      </c>
      <c r="G87" s="1168">
        <v>13723953.3</v>
      </c>
      <c r="H87" s="1168">
        <v>55046.7</v>
      </c>
    </row>
    <row r="88" spans="1:8" ht="12.75">
      <c r="A88" s="1822" t="s">
        <v>1328</v>
      </c>
      <c r="B88" s="379" t="s">
        <v>1329</v>
      </c>
      <c r="C88" s="1823" t="s">
        <v>2643</v>
      </c>
      <c r="D88" s="379" t="s">
        <v>3423</v>
      </c>
      <c r="E88" s="1168">
        <v>0</v>
      </c>
      <c r="F88" s="1168">
        <v>58000</v>
      </c>
      <c r="G88" s="1168">
        <v>40415.19</v>
      </c>
      <c r="H88" s="1168">
        <v>17584.81</v>
      </c>
    </row>
    <row r="89" spans="1:8" ht="12.75">
      <c r="A89" s="1822" t="s">
        <v>1330</v>
      </c>
      <c r="B89" s="379" t="s">
        <v>1331</v>
      </c>
      <c r="C89" s="1823" t="s">
        <v>2643</v>
      </c>
      <c r="D89" s="379" t="s">
        <v>3422</v>
      </c>
      <c r="E89" s="1168">
        <v>248000</v>
      </c>
      <c r="F89" s="1168">
        <v>210000</v>
      </c>
      <c r="G89" s="1168">
        <v>116309.5</v>
      </c>
      <c r="H89" s="1168">
        <v>93690.5</v>
      </c>
    </row>
    <row r="90" spans="1:8" ht="12.75">
      <c r="A90" s="1822" t="s">
        <v>1330</v>
      </c>
      <c r="B90" s="379" t="s">
        <v>1331</v>
      </c>
      <c r="C90" s="1823" t="s">
        <v>2643</v>
      </c>
      <c r="D90" s="379" t="s">
        <v>3423</v>
      </c>
      <c r="E90" s="1168">
        <v>217000</v>
      </c>
      <c r="F90" s="1168">
        <v>255000</v>
      </c>
      <c r="G90" s="1168">
        <v>152013.23</v>
      </c>
      <c r="H90" s="1168">
        <v>102986.77</v>
      </c>
    </row>
    <row r="91" spans="1:8" ht="12.75">
      <c r="A91" s="1822" t="s">
        <v>1332</v>
      </c>
      <c r="B91" s="379" t="s">
        <v>1333</v>
      </c>
      <c r="C91" s="1823" t="s">
        <v>2643</v>
      </c>
      <c r="D91" s="379" t="s">
        <v>3422</v>
      </c>
      <c r="E91" s="1168">
        <v>16625000</v>
      </c>
      <c r="F91" s="1168">
        <v>18471000</v>
      </c>
      <c r="G91" s="1168">
        <v>17813966.8</v>
      </c>
      <c r="H91" s="1168">
        <v>657033.2</v>
      </c>
    </row>
    <row r="92" spans="1:8" ht="12.75">
      <c r="A92" s="1822" t="s">
        <v>1332</v>
      </c>
      <c r="B92" s="379" t="s">
        <v>1333</v>
      </c>
      <c r="C92" s="1823" t="s">
        <v>2643</v>
      </c>
      <c r="D92" s="379" t="s">
        <v>3423</v>
      </c>
      <c r="E92" s="1168">
        <v>0</v>
      </c>
      <c r="F92" s="1168">
        <v>1558000</v>
      </c>
      <c r="G92" s="1168">
        <v>1556623.32</v>
      </c>
      <c r="H92" s="1168">
        <v>1376.68</v>
      </c>
    </row>
    <row r="93" spans="1:8" ht="12.75">
      <c r="A93" s="1822" t="s">
        <v>1334</v>
      </c>
      <c r="B93" s="379" t="s">
        <v>1335</v>
      </c>
      <c r="C93" s="1823" t="s">
        <v>2643</v>
      </c>
      <c r="D93" s="379" t="s">
        <v>3422</v>
      </c>
      <c r="E93" s="1168">
        <v>11650000</v>
      </c>
      <c r="F93" s="1168">
        <v>5042000</v>
      </c>
      <c r="G93" s="1168">
        <v>4814316.05</v>
      </c>
      <c r="H93" s="1168">
        <v>227683.95</v>
      </c>
    </row>
    <row r="94" spans="1:8" ht="12.75">
      <c r="A94" s="1822" t="s">
        <v>1334</v>
      </c>
      <c r="B94" s="379" t="s">
        <v>1335</v>
      </c>
      <c r="C94" s="1823" t="s">
        <v>2643</v>
      </c>
      <c r="D94" s="379" t="s">
        <v>3423</v>
      </c>
      <c r="E94" s="1168">
        <v>0</v>
      </c>
      <c r="F94" s="1168">
        <v>5331000</v>
      </c>
      <c r="G94" s="1168">
        <v>4565992.36</v>
      </c>
      <c r="H94" s="1168">
        <v>765007.64</v>
      </c>
    </row>
    <row r="95" spans="1:8" ht="12.75">
      <c r="A95" s="1822" t="s">
        <v>1336</v>
      </c>
      <c r="B95" s="379" t="s">
        <v>1337</v>
      </c>
      <c r="C95" s="1823" t="s">
        <v>2643</v>
      </c>
      <c r="D95" s="379" t="s">
        <v>3422</v>
      </c>
      <c r="E95" s="1168">
        <v>128000</v>
      </c>
      <c r="F95" s="1168">
        <v>1075000</v>
      </c>
      <c r="G95" s="1168">
        <v>1017221.53</v>
      </c>
      <c r="H95" s="1168">
        <v>57778.47</v>
      </c>
    </row>
    <row r="96" spans="1:8" ht="12.75">
      <c r="A96" s="1822" t="s">
        <v>1336</v>
      </c>
      <c r="B96" s="379" t="s">
        <v>1337</v>
      </c>
      <c r="C96" s="1823" t="s">
        <v>2643</v>
      </c>
      <c r="D96" s="379" t="s">
        <v>3423</v>
      </c>
      <c r="E96" s="1168">
        <v>692000</v>
      </c>
      <c r="F96" s="1168">
        <v>195000</v>
      </c>
      <c r="G96" s="1168">
        <v>194154.45</v>
      </c>
      <c r="H96" s="1168">
        <v>845.55</v>
      </c>
    </row>
    <row r="97" spans="1:8" ht="12.75">
      <c r="A97" s="1822" t="s">
        <v>1338</v>
      </c>
      <c r="B97" s="379" t="s">
        <v>1339</v>
      </c>
      <c r="C97" s="1823" t="s">
        <v>2643</v>
      </c>
      <c r="D97" s="379" t="s">
        <v>3422</v>
      </c>
      <c r="E97" s="1168">
        <v>1908000</v>
      </c>
      <c r="F97" s="1168">
        <v>1499000</v>
      </c>
      <c r="G97" s="1168">
        <v>1497035.64</v>
      </c>
      <c r="H97" s="1168">
        <v>1964.36</v>
      </c>
    </row>
    <row r="98" spans="1:8" ht="12.75">
      <c r="A98" s="1822" t="s">
        <v>1338</v>
      </c>
      <c r="B98" s="379" t="s">
        <v>1339</v>
      </c>
      <c r="C98" s="1823" t="s">
        <v>2643</v>
      </c>
      <c r="D98" s="379" t="s">
        <v>3423</v>
      </c>
      <c r="E98" s="1168">
        <v>1719000</v>
      </c>
      <c r="F98" s="1168">
        <v>2117000</v>
      </c>
      <c r="G98" s="1168">
        <v>1582703.17</v>
      </c>
      <c r="H98" s="1168">
        <v>534296.83</v>
      </c>
    </row>
    <row r="99" spans="1:8" ht="12.75">
      <c r="A99" s="1822" t="s">
        <v>1340</v>
      </c>
      <c r="B99" s="379" t="s">
        <v>1341</v>
      </c>
      <c r="C99" s="1823" t="s">
        <v>3190</v>
      </c>
      <c r="D99" s="379" t="s">
        <v>3422</v>
      </c>
      <c r="E99" s="1168">
        <v>33500000</v>
      </c>
      <c r="F99" s="1168">
        <v>27780000</v>
      </c>
      <c r="G99" s="1168">
        <v>27779790.81</v>
      </c>
      <c r="H99" s="1168">
        <v>209.19</v>
      </c>
    </row>
    <row r="100" spans="1:8" ht="12.75">
      <c r="A100" s="1822" t="s">
        <v>1342</v>
      </c>
      <c r="B100" s="379" t="s">
        <v>1343</v>
      </c>
      <c r="C100" s="1823" t="s">
        <v>2643</v>
      </c>
      <c r="D100" s="379" t="s">
        <v>3422</v>
      </c>
      <c r="E100" s="1168">
        <v>29200000</v>
      </c>
      <c r="F100" s="1168">
        <v>0</v>
      </c>
      <c r="G100" s="1168">
        <v>0</v>
      </c>
      <c r="H100" s="1168">
        <v>0</v>
      </c>
    </row>
    <row r="101" spans="1:8" ht="12.75">
      <c r="A101" s="1822" t="s">
        <v>1344</v>
      </c>
      <c r="B101" s="379" t="s">
        <v>1345</v>
      </c>
      <c r="C101" s="1823" t="s">
        <v>2643</v>
      </c>
      <c r="D101" s="379" t="s">
        <v>3422</v>
      </c>
      <c r="E101" s="1168">
        <v>0</v>
      </c>
      <c r="F101" s="1168">
        <v>992000</v>
      </c>
      <c r="G101" s="1168">
        <v>991922</v>
      </c>
      <c r="H101" s="1168">
        <v>78</v>
      </c>
    </row>
    <row r="102" spans="1:8" ht="12.75">
      <c r="A102" s="1822" t="s">
        <v>1346</v>
      </c>
      <c r="B102" s="379" t="s">
        <v>1347</v>
      </c>
      <c r="C102" s="1823" t="s">
        <v>2643</v>
      </c>
      <c r="D102" s="379" t="s">
        <v>3422</v>
      </c>
      <c r="E102" s="1168">
        <v>0</v>
      </c>
      <c r="F102" s="1168">
        <v>8850000</v>
      </c>
      <c r="G102" s="1168">
        <v>8849151.8</v>
      </c>
      <c r="H102" s="1168">
        <v>848.2</v>
      </c>
    </row>
    <row r="103" spans="1:8" ht="12.75">
      <c r="A103" s="1822" t="s">
        <v>1348</v>
      </c>
      <c r="B103" s="379" t="s">
        <v>1349</v>
      </c>
      <c r="C103" s="1823" t="s">
        <v>2643</v>
      </c>
      <c r="D103" s="379" t="s">
        <v>3422</v>
      </c>
      <c r="E103" s="1168">
        <v>0</v>
      </c>
      <c r="F103" s="1168">
        <v>12561000</v>
      </c>
      <c r="G103" s="1168">
        <v>12421813.4</v>
      </c>
      <c r="H103" s="1168">
        <v>139186.6</v>
      </c>
    </row>
    <row r="104" spans="1:8" ht="12.75">
      <c r="A104" s="1822" t="s">
        <v>1348</v>
      </c>
      <c r="B104" s="379" t="s">
        <v>1349</v>
      </c>
      <c r="C104" s="1823" t="s">
        <v>2643</v>
      </c>
      <c r="D104" s="379" t="s">
        <v>3423</v>
      </c>
      <c r="E104" s="1168">
        <v>0</v>
      </c>
      <c r="F104" s="1168">
        <v>2799000</v>
      </c>
      <c r="G104" s="1168">
        <v>2798228.8</v>
      </c>
      <c r="H104" s="1168">
        <v>771.2</v>
      </c>
    </row>
    <row r="105" spans="1:8" ht="12.75">
      <c r="A105" s="1822" t="s">
        <v>1350</v>
      </c>
      <c r="B105" s="379" t="s">
        <v>1351</v>
      </c>
      <c r="C105" s="1823" t="s">
        <v>2643</v>
      </c>
      <c r="D105" s="379" t="s">
        <v>3422</v>
      </c>
      <c r="E105" s="1168">
        <v>0</v>
      </c>
      <c r="F105" s="1168">
        <v>2000000</v>
      </c>
      <c r="G105" s="1168">
        <v>1996017.5</v>
      </c>
      <c r="H105" s="1168">
        <v>3982.5</v>
      </c>
    </row>
    <row r="106" spans="1:8" ht="12.75">
      <c r="A106" s="1822" t="s">
        <v>1352</v>
      </c>
      <c r="B106" s="379" t="s">
        <v>1353</v>
      </c>
      <c r="C106" s="1823" t="s">
        <v>2643</v>
      </c>
      <c r="D106" s="379" t="s">
        <v>3422</v>
      </c>
      <c r="E106" s="1168">
        <v>0</v>
      </c>
      <c r="F106" s="1168">
        <v>1654000</v>
      </c>
      <c r="G106" s="1168">
        <v>0</v>
      </c>
      <c r="H106" s="1168">
        <v>1654000</v>
      </c>
    </row>
    <row r="107" spans="1:8" ht="12.75">
      <c r="A107" s="1822" t="s">
        <v>1352</v>
      </c>
      <c r="B107" s="379" t="s">
        <v>1353</v>
      </c>
      <c r="C107" s="1823" t="s">
        <v>2643</v>
      </c>
      <c r="D107" s="379" t="s">
        <v>3423</v>
      </c>
      <c r="E107" s="1168">
        <v>0</v>
      </c>
      <c r="F107" s="1168">
        <v>350000</v>
      </c>
      <c r="G107" s="1168">
        <v>0</v>
      </c>
      <c r="H107" s="1168">
        <v>350000</v>
      </c>
    </row>
    <row r="108" spans="1:8" ht="12.75">
      <c r="A108" s="1822" t="s">
        <v>1354</v>
      </c>
      <c r="B108" s="379" t="s">
        <v>1355</v>
      </c>
      <c r="C108" s="1823" t="s">
        <v>2643</v>
      </c>
      <c r="D108" s="379" t="s">
        <v>3422</v>
      </c>
      <c r="E108" s="1168">
        <v>0</v>
      </c>
      <c r="F108" s="1168">
        <v>2600000</v>
      </c>
      <c r="G108" s="1168">
        <v>2599033.82</v>
      </c>
      <c r="H108" s="1168">
        <v>966.18</v>
      </c>
    </row>
    <row r="109" spans="1:8" ht="12.75">
      <c r="A109" s="1822" t="s">
        <v>1356</v>
      </c>
      <c r="B109" s="379" t="s">
        <v>1357</v>
      </c>
      <c r="C109" s="1823" t="s">
        <v>2643</v>
      </c>
      <c r="D109" s="379" t="s">
        <v>3422</v>
      </c>
      <c r="E109" s="1168">
        <v>0</v>
      </c>
      <c r="F109" s="1168">
        <v>534000</v>
      </c>
      <c r="G109" s="1168">
        <v>0</v>
      </c>
      <c r="H109" s="1168">
        <v>534000</v>
      </c>
    </row>
    <row r="110" spans="1:8" ht="12.75">
      <c r="A110" s="1822" t="s">
        <v>1356</v>
      </c>
      <c r="B110" s="379" t="s">
        <v>1357</v>
      </c>
      <c r="C110" s="1823" t="s">
        <v>2643</v>
      </c>
      <c r="D110" s="379" t="s">
        <v>3423</v>
      </c>
      <c r="E110" s="1168">
        <v>0</v>
      </c>
      <c r="F110" s="1168">
        <v>86000</v>
      </c>
      <c r="G110" s="1168">
        <v>0</v>
      </c>
      <c r="H110" s="1168">
        <v>86000</v>
      </c>
    </row>
    <row r="111" spans="1:8" ht="12.75">
      <c r="A111" s="1822" t="s">
        <v>1358</v>
      </c>
      <c r="B111" s="379" t="s">
        <v>1359</v>
      </c>
      <c r="C111" s="1823" t="s">
        <v>2643</v>
      </c>
      <c r="D111" s="379" t="s">
        <v>3423</v>
      </c>
      <c r="E111" s="1168">
        <v>0</v>
      </c>
      <c r="F111" s="1168">
        <v>22280000</v>
      </c>
      <c r="G111" s="1168">
        <v>0</v>
      </c>
      <c r="H111" s="1168">
        <v>22280000</v>
      </c>
    </row>
    <row r="112" spans="1:8" s="174" customFormat="1" ht="12.75">
      <c r="A112" s="1824" t="s">
        <v>1360</v>
      </c>
      <c r="B112" s="1825"/>
      <c r="C112" s="1825"/>
      <c r="D112" s="1826"/>
      <c r="E112" s="1821">
        <v>458047000</v>
      </c>
      <c r="F112" s="1821">
        <v>434097000</v>
      </c>
      <c r="G112" s="1821">
        <v>372163412.16</v>
      </c>
      <c r="H112" s="1821">
        <v>61933587.84</v>
      </c>
    </row>
    <row r="113" spans="1:8" ht="12.75">
      <c r="A113" s="1822" t="s">
        <v>1361</v>
      </c>
      <c r="B113" s="379" t="s">
        <v>1362</v>
      </c>
      <c r="C113" s="1823" t="s">
        <v>2643</v>
      </c>
      <c r="D113" s="379" t="s">
        <v>3422</v>
      </c>
      <c r="E113" s="1168">
        <v>62423000</v>
      </c>
      <c r="F113" s="1168">
        <v>54148000</v>
      </c>
      <c r="G113" s="1168">
        <v>0</v>
      </c>
      <c r="H113" s="1168">
        <v>54148000</v>
      </c>
    </row>
    <row r="114" spans="1:8" ht="12.75">
      <c r="A114" s="1822" t="s">
        <v>1363</v>
      </c>
      <c r="B114" s="379" t="s">
        <v>1364</v>
      </c>
      <c r="C114" s="1823" t="s">
        <v>2643</v>
      </c>
      <c r="D114" s="379" t="s">
        <v>3422</v>
      </c>
      <c r="E114" s="1168">
        <v>0</v>
      </c>
      <c r="F114" s="1168">
        <v>10270000</v>
      </c>
      <c r="G114" s="1168">
        <v>6312190.5</v>
      </c>
      <c r="H114" s="1168">
        <v>3957809.5</v>
      </c>
    </row>
    <row r="115" spans="1:8" ht="12.75">
      <c r="A115" s="1822" t="s">
        <v>1365</v>
      </c>
      <c r="B115" s="379" t="s">
        <v>1366</v>
      </c>
      <c r="C115" s="1823" t="s">
        <v>2643</v>
      </c>
      <c r="D115" s="379" t="s">
        <v>3422</v>
      </c>
      <c r="E115" s="1168">
        <v>0</v>
      </c>
      <c r="F115" s="1168">
        <v>20000000</v>
      </c>
      <c r="G115" s="1168">
        <v>0</v>
      </c>
      <c r="H115" s="1168">
        <v>20000000</v>
      </c>
    </row>
    <row r="116" spans="1:8" ht="12.75">
      <c r="A116" s="1822" t="s">
        <v>1367</v>
      </c>
      <c r="B116" s="379" t="s">
        <v>1368</v>
      </c>
      <c r="C116" s="1823" t="s">
        <v>2643</v>
      </c>
      <c r="D116" s="379" t="s">
        <v>3422</v>
      </c>
      <c r="E116" s="1168">
        <v>0</v>
      </c>
      <c r="F116" s="1168">
        <v>5914000</v>
      </c>
      <c r="G116" s="1168">
        <v>5913870</v>
      </c>
      <c r="H116" s="1168">
        <v>130</v>
      </c>
    </row>
    <row r="117" spans="1:8" ht="12.75">
      <c r="A117" s="1822" t="s">
        <v>1369</v>
      </c>
      <c r="B117" s="379" t="s">
        <v>1370</v>
      </c>
      <c r="C117" s="1823" t="s">
        <v>2643</v>
      </c>
      <c r="D117" s="379" t="s">
        <v>3422</v>
      </c>
      <c r="E117" s="1168">
        <v>650000</v>
      </c>
      <c r="F117" s="1168">
        <v>650000</v>
      </c>
      <c r="G117" s="1168">
        <v>522291</v>
      </c>
      <c r="H117" s="1168">
        <v>127709</v>
      </c>
    </row>
    <row r="118" spans="1:8" ht="12.75">
      <c r="A118" s="1822">
        <v>2140124002</v>
      </c>
      <c r="B118" s="379" t="s">
        <v>1371</v>
      </c>
      <c r="C118" s="1823" t="s">
        <v>2643</v>
      </c>
      <c r="D118" s="379" t="s">
        <v>3422</v>
      </c>
      <c r="E118" s="1168">
        <v>2000000</v>
      </c>
      <c r="F118" s="1168">
        <v>0</v>
      </c>
      <c r="G118" s="1168">
        <v>0</v>
      </c>
      <c r="H118" s="1168">
        <v>0</v>
      </c>
    </row>
    <row r="119" spans="1:8" ht="12.75">
      <c r="A119" s="1822" t="s">
        <v>1372</v>
      </c>
      <c r="B119" s="379" t="s">
        <v>1373</v>
      </c>
      <c r="C119" s="1823" t="s">
        <v>2643</v>
      </c>
      <c r="D119" s="379" t="s">
        <v>3422</v>
      </c>
      <c r="E119" s="1168">
        <v>8000000</v>
      </c>
      <c r="F119" s="1168">
        <v>17031000</v>
      </c>
      <c r="G119" s="1168">
        <v>17020582</v>
      </c>
      <c r="H119" s="1168">
        <v>10418</v>
      </c>
    </row>
    <row r="120" spans="1:8" ht="12.75">
      <c r="A120" s="1822">
        <v>2140124004</v>
      </c>
      <c r="B120" s="379" t="s">
        <v>1374</v>
      </c>
      <c r="C120" s="1823" t="s">
        <v>2643</v>
      </c>
      <c r="D120" s="379" t="s">
        <v>3422</v>
      </c>
      <c r="E120" s="1168">
        <v>2000000</v>
      </c>
      <c r="F120" s="1168">
        <v>0</v>
      </c>
      <c r="G120" s="1168">
        <v>0</v>
      </c>
      <c r="H120" s="1168">
        <v>0</v>
      </c>
    </row>
    <row r="121" spans="1:8" ht="12.75">
      <c r="A121" s="1822">
        <v>2140124005</v>
      </c>
      <c r="B121" s="379" t="s">
        <v>1375</v>
      </c>
      <c r="C121" s="1823" t="s">
        <v>2643</v>
      </c>
      <c r="D121" s="379" t="s">
        <v>3422</v>
      </c>
      <c r="E121" s="1168">
        <v>1909000</v>
      </c>
      <c r="F121" s="1168">
        <v>0</v>
      </c>
      <c r="G121" s="1168">
        <v>0</v>
      </c>
      <c r="H121" s="1168">
        <v>0</v>
      </c>
    </row>
    <row r="122" spans="1:8" ht="12.75">
      <c r="A122" s="1822">
        <v>2140124006</v>
      </c>
      <c r="B122" s="379" t="s">
        <v>1376</v>
      </c>
      <c r="C122" s="1823" t="s">
        <v>2643</v>
      </c>
      <c r="D122" s="379" t="s">
        <v>3422</v>
      </c>
      <c r="E122" s="1168">
        <v>2000000</v>
      </c>
      <c r="F122" s="1168">
        <v>0</v>
      </c>
      <c r="G122" s="1168">
        <v>0</v>
      </c>
      <c r="H122" s="1168">
        <v>0</v>
      </c>
    </row>
    <row r="123" spans="1:8" ht="12.75">
      <c r="A123" s="1822">
        <v>2140124007</v>
      </c>
      <c r="B123" s="379" t="s">
        <v>1377</v>
      </c>
      <c r="C123" s="1823" t="s">
        <v>2643</v>
      </c>
      <c r="D123" s="379" t="s">
        <v>3422</v>
      </c>
      <c r="E123" s="1168">
        <v>4000000</v>
      </c>
      <c r="F123" s="1168">
        <v>0</v>
      </c>
      <c r="G123" s="1168">
        <v>0</v>
      </c>
      <c r="H123" s="1168">
        <v>0</v>
      </c>
    </row>
    <row r="124" spans="1:8" ht="12.75">
      <c r="A124" s="1822">
        <v>2140124008</v>
      </c>
      <c r="B124" s="379" t="s">
        <v>1378</v>
      </c>
      <c r="C124" s="1823" t="s">
        <v>2643</v>
      </c>
      <c r="D124" s="379" t="s">
        <v>3422</v>
      </c>
      <c r="E124" s="1168">
        <v>1000000</v>
      </c>
      <c r="F124" s="1168">
        <v>0</v>
      </c>
      <c r="G124" s="1168">
        <v>0</v>
      </c>
      <c r="H124" s="1168">
        <v>0</v>
      </c>
    </row>
    <row r="125" spans="1:8" ht="12.75">
      <c r="A125" s="1822" t="s">
        <v>1379</v>
      </c>
      <c r="B125" s="379" t="s">
        <v>1380</v>
      </c>
      <c r="C125" s="1823" t="s">
        <v>3190</v>
      </c>
      <c r="D125" s="379" t="s">
        <v>3422</v>
      </c>
      <c r="E125" s="1168">
        <v>20000000</v>
      </c>
      <c r="F125" s="1168">
        <v>13647000</v>
      </c>
      <c r="G125" s="1168">
        <v>13646330</v>
      </c>
      <c r="H125" s="1168">
        <v>670</v>
      </c>
    </row>
    <row r="126" spans="1:8" ht="12.75">
      <c r="A126" s="1822" t="s">
        <v>1381</v>
      </c>
      <c r="B126" s="379" t="s">
        <v>1382</v>
      </c>
      <c r="C126" s="1823" t="s">
        <v>2643</v>
      </c>
      <c r="D126" s="379" t="s">
        <v>3422</v>
      </c>
      <c r="E126" s="1168">
        <v>0</v>
      </c>
      <c r="F126" s="1168">
        <v>3325000</v>
      </c>
      <c r="G126" s="1168">
        <v>0</v>
      </c>
      <c r="H126" s="1168">
        <v>3325000</v>
      </c>
    </row>
    <row r="127" spans="1:8" ht="12.75">
      <c r="A127" s="1822" t="s">
        <v>1383</v>
      </c>
      <c r="B127" s="379" t="s">
        <v>1384</v>
      </c>
      <c r="C127" s="1823" t="s">
        <v>2643</v>
      </c>
      <c r="D127" s="379" t="s">
        <v>3422</v>
      </c>
      <c r="E127" s="1168">
        <v>0</v>
      </c>
      <c r="F127" s="1168">
        <v>381000</v>
      </c>
      <c r="G127" s="1168">
        <v>380664.71</v>
      </c>
      <c r="H127" s="1168">
        <v>335.29</v>
      </c>
    </row>
    <row r="128" spans="1:8" ht="12.75">
      <c r="A128" s="1822" t="s">
        <v>1385</v>
      </c>
      <c r="B128" s="379" t="s">
        <v>1386</v>
      </c>
      <c r="C128" s="1823" t="s">
        <v>2643</v>
      </c>
      <c r="D128" s="379" t="s">
        <v>3422</v>
      </c>
      <c r="E128" s="1168">
        <v>0</v>
      </c>
      <c r="F128" s="1168">
        <v>1150000</v>
      </c>
      <c r="G128" s="1168">
        <v>0</v>
      </c>
      <c r="H128" s="1168">
        <v>1150000</v>
      </c>
    </row>
    <row r="129" spans="1:8" ht="12.75">
      <c r="A129" s="1822" t="s">
        <v>1387</v>
      </c>
      <c r="B129" s="379" t="s">
        <v>1388</v>
      </c>
      <c r="C129" s="1823" t="s">
        <v>2643</v>
      </c>
      <c r="D129" s="379" t="s">
        <v>3422</v>
      </c>
      <c r="E129" s="1168">
        <v>0</v>
      </c>
      <c r="F129" s="1168">
        <v>280000</v>
      </c>
      <c r="G129" s="1168">
        <v>0</v>
      </c>
      <c r="H129" s="1168">
        <v>280000</v>
      </c>
    </row>
    <row r="130" spans="1:8" ht="12.75">
      <c r="A130" s="1822" t="s">
        <v>1389</v>
      </c>
      <c r="B130" s="379" t="s">
        <v>1390</v>
      </c>
      <c r="C130" s="1823" t="s">
        <v>2643</v>
      </c>
      <c r="D130" s="379" t="s">
        <v>3422</v>
      </c>
      <c r="E130" s="1168">
        <v>0</v>
      </c>
      <c r="F130" s="1168">
        <v>3294000</v>
      </c>
      <c r="G130" s="1168">
        <v>371042</v>
      </c>
      <c r="H130" s="1168">
        <v>2922958</v>
      </c>
    </row>
    <row r="131" spans="1:8" s="174" customFormat="1" ht="12.75">
      <c r="A131" s="1824" t="s">
        <v>1391</v>
      </c>
      <c r="B131" s="1825"/>
      <c r="C131" s="1825"/>
      <c r="D131" s="1826"/>
      <c r="E131" s="1821">
        <v>103982000</v>
      </c>
      <c r="F131" s="1821">
        <v>130090000</v>
      </c>
      <c r="G131" s="1821">
        <v>44166970.21</v>
      </c>
      <c r="H131" s="1821">
        <v>85923029.79</v>
      </c>
    </row>
    <row r="132" spans="1:8" ht="12.75">
      <c r="A132" s="1822" t="s">
        <v>1392</v>
      </c>
      <c r="B132" s="379" t="s">
        <v>1393</v>
      </c>
      <c r="C132" s="1823" t="s">
        <v>2643</v>
      </c>
      <c r="D132" s="379" t="s">
        <v>3423</v>
      </c>
      <c r="E132" s="1168">
        <v>815000</v>
      </c>
      <c r="F132" s="1168">
        <v>815000</v>
      </c>
      <c r="G132" s="1168">
        <v>814994</v>
      </c>
      <c r="H132" s="1168">
        <v>6</v>
      </c>
    </row>
    <row r="133" spans="1:8" ht="12.75">
      <c r="A133" s="1822">
        <v>2140134002</v>
      </c>
      <c r="B133" s="379" t="s">
        <v>1394</v>
      </c>
      <c r="C133" s="1823" t="s">
        <v>2643</v>
      </c>
      <c r="D133" s="379" t="s">
        <v>3423</v>
      </c>
      <c r="E133" s="1168">
        <v>620000</v>
      </c>
      <c r="F133" s="1168">
        <v>0</v>
      </c>
      <c r="G133" s="1168">
        <v>0</v>
      </c>
      <c r="H133" s="1168">
        <v>0</v>
      </c>
    </row>
    <row r="134" spans="1:8" ht="12.75">
      <c r="A134" s="1822" t="s">
        <v>1395</v>
      </c>
      <c r="B134" s="379" t="s">
        <v>1396</v>
      </c>
      <c r="C134" s="1823" t="s">
        <v>2643</v>
      </c>
      <c r="D134" s="379" t="s">
        <v>3423</v>
      </c>
      <c r="E134" s="1168">
        <v>50000</v>
      </c>
      <c r="F134" s="1168">
        <v>50000</v>
      </c>
      <c r="G134" s="1168">
        <v>50000</v>
      </c>
      <c r="H134" s="1168">
        <v>0</v>
      </c>
    </row>
    <row r="135" spans="1:8" ht="12.75">
      <c r="A135" s="1822" t="s">
        <v>1397</v>
      </c>
      <c r="B135" s="379" t="s">
        <v>1398</v>
      </c>
      <c r="C135" s="1823" t="s">
        <v>2643</v>
      </c>
      <c r="D135" s="379" t="s">
        <v>3423</v>
      </c>
      <c r="E135" s="1168">
        <v>300000</v>
      </c>
      <c r="F135" s="1168">
        <v>300000</v>
      </c>
      <c r="G135" s="1168">
        <v>243792.98</v>
      </c>
      <c r="H135" s="1168">
        <v>56207.02</v>
      </c>
    </row>
    <row r="136" spans="1:8" ht="12.75">
      <c r="A136" s="1822" t="s">
        <v>1399</v>
      </c>
      <c r="B136" s="379" t="s">
        <v>1400</v>
      </c>
      <c r="C136" s="1823" t="s">
        <v>2643</v>
      </c>
      <c r="D136" s="379" t="s">
        <v>3422</v>
      </c>
      <c r="E136" s="1168">
        <v>4585000</v>
      </c>
      <c r="F136" s="1168">
        <v>4435000</v>
      </c>
      <c r="G136" s="1168">
        <v>2562177.2</v>
      </c>
      <c r="H136" s="1168">
        <v>1872822.8</v>
      </c>
    </row>
    <row r="137" spans="1:8" ht="12.75">
      <c r="A137" s="1822" t="s">
        <v>1401</v>
      </c>
      <c r="B137" s="379" t="s">
        <v>1402</v>
      </c>
      <c r="C137" s="1823" t="s">
        <v>2643</v>
      </c>
      <c r="D137" s="379" t="s">
        <v>3422</v>
      </c>
      <c r="E137" s="1168">
        <v>8650000</v>
      </c>
      <c r="F137" s="1168">
        <v>220000</v>
      </c>
      <c r="G137" s="1168">
        <v>0</v>
      </c>
      <c r="H137" s="1168">
        <v>220000</v>
      </c>
    </row>
    <row r="138" spans="1:8" ht="12.75">
      <c r="A138" s="1822" t="s">
        <v>1403</v>
      </c>
      <c r="B138" s="379" t="s">
        <v>1404</v>
      </c>
      <c r="C138" s="1823" t="s">
        <v>2643</v>
      </c>
      <c r="D138" s="379" t="s">
        <v>3422</v>
      </c>
      <c r="E138" s="1168">
        <v>1365000</v>
      </c>
      <c r="F138" s="1168">
        <v>1365000</v>
      </c>
      <c r="G138" s="1168">
        <v>660345</v>
      </c>
      <c r="H138" s="1168">
        <v>704655</v>
      </c>
    </row>
    <row r="139" spans="1:8" ht="12.75">
      <c r="A139" s="1822" t="s">
        <v>1405</v>
      </c>
      <c r="B139" s="379" t="s">
        <v>1406</v>
      </c>
      <c r="C139" s="1823" t="s">
        <v>2643</v>
      </c>
      <c r="D139" s="379" t="s">
        <v>3422</v>
      </c>
      <c r="E139" s="1168">
        <v>300000</v>
      </c>
      <c r="F139" s="1168">
        <v>300000</v>
      </c>
      <c r="G139" s="1168">
        <v>299151</v>
      </c>
      <c r="H139" s="1168">
        <v>849</v>
      </c>
    </row>
    <row r="140" spans="1:8" ht="12.75">
      <c r="A140" s="1822" t="s">
        <v>1407</v>
      </c>
      <c r="B140" s="379" t="s">
        <v>1408</v>
      </c>
      <c r="C140" s="1823" t="s">
        <v>3190</v>
      </c>
      <c r="D140" s="379" t="s">
        <v>3422</v>
      </c>
      <c r="E140" s="1168">
        <v>31000000</v>
      </c>
      <c r="F140" s="1168">
        <v>33073000</v>
      </c>
      <c r="G140" s="1168">
        <v>33037022.12</v>
      </c>
      <c r="H140" s="1168">
        <v>35977.88</v>
      </c>
    </row>
    <row r="141" spans="1:8" s="174" customFormat="1" ht="12.75">
      <c r="A141" s="1824" t="s">
        <v>1409</v>
      </c>
      <c r="B141" s="1825"/>
      <c r="C141" s="1825"/>
      <c r="D141" s="1826"/>
      <c r="E141" s="1821">
        <v>47685000</v>
      </c>
      <c r="F141" s="1821">
        <v>40558000</v>
      </c>
      <c r="G141" s="1821">
        <v>37667482.3</v>
      </c>
      <c r="H141" s="1821">
        <v>2890517.7</v>
      </c>
    </row>
    <row r="142" spans="1:8" ht="12.75">
      <c r="A142" s="1822" t="s">
        <v>1410</v>
      </c>
      <c r="B142" s="379" t="s">
        <v>1411</v>
      </c>
      <c r="C142" s="1823" t="s">
        <v>2643</v>
      </c>
      <c r="D142" s="379" t="s">
        <v>3422</v>
      </c>
      <c r="E142" s="1168">
        <v>6000000</v>
      </c>
      <c r="F142" s="1168">
        <v>7519000</v>
      </c>
      <c r="G142" s="1168">
        <v>6537488.5</v>
      </c>
      <c r="H142" s="1168">
        <v>981511.5</v>
      </c>
    </row>
    <row r="143" spans="1:8" s="174" customFormat="1" ht="12.75">
      <c r="A143" s="1824" t="s">
        <v>1412</v>
      </c>
      <c r="B143" s="1825"/>
      <c r="C143" s="1825"/>
      <c r="D143" s="1826"/>
      <c r="E143" s="1821">
        <v>6000000</v>
      </c>
      <c r="F143" s="1821">
        <v>7519000</v>
      </c>
      <c r="G143" s="1821">
        <v>6537488.5</v>
      </c>
      <c r="H143" s="1821">
        <v>981511.5</v>
      </c>
    </row>
    <row r="144" spans="1:8" ht="12.75">
      <c r="A144" s="1822" t="s">
        <v>1413</v>
      </c>
      <c r="B144" s="379" t="s">
        <v>1414</v>
      </c>
      <c r="C144" s="1823" t="s">
        <v>2643</v>
      </c>
      <c r="D144" s="379" t="s">
        <v>3422</v>
      </c>
      <c r="E144" s="1168">
        <v>1000000</v>
      </c>
      <c r="F144" s="1168">
        <v>1950000</v>
      </c>
      <c r="G144" s="1168">
        <v>891310</v>
      </c>
      <c r="H144" s="1168">
        <v>1058690</v>
      </c>
    </row>
    <row r="145" spans="1:8" ht="12.75">
      <c r="A145" s="1822">
        <v>2140194002</v>
      </c>
      <c r="B145" s="379" t="s">
        <v>1415</v>
      </c>
      <c r="C145" s="1823" t="s">
        <v>2643</v>
      </c>
      <c r="D145" s="379" t="s">
        <v>3422</v>
      </c>
      <c r="E145" s="1168">
        <v>320000</v>
      </c>
      <c r="F145" s="1168">
        <v>0</v>
      </c>
      <c r="G145" s="1168">
        <v>0</v>
      </c>
      <c r="H145" s="1168">
        <v>0</v>
      </c>
    </row>
    <row r="146" spans="1:8" ht="12.75">
      <c r="A146" s="1822">
        <v>2140194003</v>
      </c>
      <c r="B146" s="379" t="s">
        <v>1416</v>
      </c>
      <c r="C146" s="1823" t="s">
        <v>2643</v>
      </c>
      <c r="D146" s="379" t="s">
        <v>3422</v>
      </c>
      <c r="E146" s="1168">
        <v>2170000</v>
      </c>
      <c r="F146" s="1168">
        <v>0</v>
      </c>
      <c r="G146" s="1168">
        <v>0</v>
      </c>
      <c r="H146" s="1168">
        <v>0</v>
      </c>
    </row>
    <row r="147" spans="1:8" ht="12.75">
      <c r="A147" s="1822">
        <v>2140194004</v>
      </c>
      <c r="B147" s="379" t="s">
        <v>1417</v>
      </c>
      <c r="C147" s="1823" t="s">
        <v>2643</v>
      </c>
      <c r="D147" s="379" t="s">
        <v>3422</v>
      </c>
      <c r="E147" s="1168">
        <v>660000</v>
      </c>
      <c r="F147" s="1168">
        <v>0</v>
      </c>
      <c r="G147" s="1168">
        <v>0</v>
      </c>
      <c r="H147" s="1168">
        <v>0</v>
      </c>
    </row>
    <row r="148" spans="1:8" ht="12.75">
      <c r="A148" s="1822">
        <v>2140194005</v>
      </c>
      <c r="B148" s="379" t="s">
        <v>1418</v>
      </c>
      <c r="C148" s="1823" t="s">
        <v>2643</v>
      </c>
      <c r="D148" s="379" t="s">
        <v>3422</v>
      </c>
      <c r="E148" s="1168">
        <v>350000</v>
      </c>
      <c r="F148" s="1168">
        <v>0</v>
      </c>
      <c r="G148" s="1168">
        <v>0</v>
      </c>
      <c r="H148" s="1168">
        <v>0</v>
      </c>
    </row>
    <row r="149" spans="1:8" ht="12.75">
      <c r="A149" s="1822" t="s">
        <v>1419</v>
      </c>
      <c r="B149" s="379" t="s">
        <v>1420</v>
      </c>
      <c r="C149" s="1823" t="s">
        <v>3190</v>
      </c>
      <c r="D149" s="379" t="s">
        <v>3422</v>
      </c>
      <c r="E149" s="1168">
        <v>0</v>
      </c>
      <c r="F149" s="1168">
        <v>846000</v>
      </c>
      <c r="G149" s="1168">
        <v>846000</v>
      </c>
      <c r="H149" s="1168">
        <v>0</v>
      </c>
    </row>
    <row r="150" spans="1:8" ht="12.75">
      <c r="A150" s="1822" t="s">
        <v>1421</v>
      </c>
      <c r="B150" s="379" t="s">
        <v>1343</v>
      </c>
      <c r="C150" s="1823" t="s">
        <v>2643</v>
      </c>
      <c r="D150" s="379" t="s">
        <v>3422</v>
      </c>
      <c r="E150" s="1168">
        <v>846000</v>
      </c>
      <c r="F150" s="1168">
        <v>0</v>
      </c>
      <c r="G150" s="1168">
        <v>0</v>
      </c>
      <c r="H150" s="1168">
        <v>0</v>
      </c>
    </row>
    <row r="151" spans="1:8" s="174" customFormat="1" ht="12.75">
      <c r="A151" s="1824" t="s">
        <v>1422</v>
      </c>
      <c r="B151" s="1825"/>
      <c r="C151" s="1825"/>
      <c r="D151" s="1826"/>
      <c r="E151" s="1821">
        <v>5346000</v>
      </c>
      <c r="F151" s="1821">
        <v>2796000</v>
      </c>
      <c r="G151" s="1821">
        <v>1737310</v>
      </c>
      <c r="H151" s="1821">
        <v>1058690</v>
      </c>
    </row>
    <row r="152" spans="1:8" s="174" customFormat="1" ht="12.75">
      <c r="A152" s="1824" t="s">
        <v>1423</v>
      </c>
      <c r="B152" s="1825"/>
      <c r="C152" s="1825"/>
      <c r="D152" s="1826"/>
      <c r="E152" s="1821">
        <f>SUM(E112,E131,E141,E143,E151)</f>
        <v>621060000</v>
      </c>
      <c r="F152" s="1821">
        <f>SUM(F112,F131,F141,F143,F151)</f>
        <v>615060000</v>
      </c>
      <c r="G152" s="1821">
        <f>SUM(G112,G131,G141,G143,G151)</f>
        <v>462272663.17</v>
      </c>
      <c r="H152" s="1821">
        <f>SUM(H112,H131,H141,H143,H151)</f>
        <v>152787336.82999998</v>
      </c>
    </row>
    <row r="153" spans="1:8" ht="12.75">
      <c r="A153" s="1822" t="s">
        <v>1424</v>
      </c>
      <c r="B153" s="379" t="s">
        <v>1425</v>
      </c>
      <c r="C153" s="1823" t="s">
        <v>3459</v>
      </c>
      <c r="D153" s="379" t="s">
        <v>3422</v>
      </c>
      <c r="E153" s="1168">
        <v>1000000</v>
      </c>
      <c r="F153" s="1168">
        <v>1002000</v>
      </c>
      <c r="G153" s="1168">
        <v>1001032</v>
      </c>
      <c r="H153" s="1168">
        <v>968</v>
      </c>
    </row>
    <row r="154" spans="1:8" ht="12.75">
      <c r="A154" s="1822" t="s">
        <v>1426</v>
      </c>
      <c r="B154" s="379" t="s">
        <v>1427</v>
      </c>
      <c r="C154" s="1823" t="s">
        <v>1428</v>
      </c>
      <c r="D154" s="379" t="s">
        <v>3422</v>
      </c>
      <c r="E154" s="1168">
        <v>1000000</v>
      </c>
      <c r="F154" s="1168">
        <v>506000</v>
      </c>
      <c r="G154" s="1168">
        <v>505155</v>
      </c>
      <c r="H154" s="1168">
        <v>800</v>
      </c>
    </row>
    <row r="155" spans="1:8" ht="12.75">
      <c r="A155" s="1822">
        <v>2140214003</v>
      </c>
      <c r="B155" s="379" t="s">
        <v>1429</v>
      </c>
      <c r="C155" s="1823" t="s">
        <v>3458</v>
      </c>
      <c r="D155" s="379" t="s">
        <v>3422</v>
      </c>
      <c r="E155" s="1168">
        <v>80000</v>
      </c>
      <c r="F155" s="1168">
        <v>80000</v>
      </c>
      <c r="G155" s="1168">
        <v>76700</v>
      </c>
      <c r="H155" s="1168">
        <v>3300</v>
      </c>
    </row>
    <row r="156" spans="1:8" ht="12.75">
      <c r="A156" s="1822" t="s">
        <v>1430</v>
      </c>
      <c r="B156" s="379" t="s">
        <v>1431</v>
      </c>
      <c r="C156" s="1823" t="s">
        <v>3458</v>
      </c>
      <c r="D156" s="379" t="s">
        <v>3422</v>
      </c>
      <c r="E156" s="1168">
        <v>100000</v>
      </c>
      <c r="F156" s="1168">
        <v>100000</v>
      </c>
      <c r="G156" s="1168">
        <v>98940</v>
      </c>
      <c r="H156" s="1168">
        <v>1060</v>
      </c>
    </row>
    <row r="157" spans="1:8" ht="12.75">
      <c r="A157" s="1822" t="s">
        <v>1432</v>
      </c>
      <c r="B157" s="379" t="s">
        <v>1433</v>
      </c>
      <c r="C157" s="1823" t="s">
        <v>3458</v>
      </c>
      <c r="D157" s="379" t="s">
        <v>3422</v>
      </c>
      <c r="E157" s="1168">
        <v>1000000</v>
      </c>
      <c r="F157" s="1168">
        <v>845000</v>
      </c>
      <c r="G157" s="1168">
        <v>845000</v>
      </c>
      <c r="H157" s="1168">
        <v>0</v>
      </c>
    </row>
    <row r="158" spans="1:8" ht="12.75">
      <c r="A158" s="1822" t="s">
        <v>1434</v>
      </c>
      <c r="B158" s="379" t="s">
        <v>1435</v>
      </c>
      <c r="C158" s="1823" t="s">
        <v>3458</v>
      </c>
      <c r="D158" s="379" t="s">
        <v>3422</v>
      </c>
      <c r="E158" s="1168">
        <v>170000</v>
      </c>
      <c r="F158" s="1168">
        <v>60000</v>
      </c>
      <c r="G158" s="1168">
        <v>59488</v>
      </c>
      <c r="H158" s="1168">
        <v>512</v>
      </c>
    </row>
    <row r="159" spans="1:8" ht="12.75">
      <c r="A159" s="1822" t="s">
        <v>1436</v>
      </c>
      <c r="B159" s="379" t="s">
        <v>1425</v>
      </c>
      <c r="C159" s="1823" t="s">
        <v>3454</v>
      </c>
      <c r="D159" s="379" t="s">
        <v>3422</v>
      </c>
      <c r="E159" s="1168">
        <v>1375000</v>
      </c>
      <c r="F159" s="1168">
        <v>1295000</v>
      </c>
      <c r="G159" s="1168">
        <v>1291156.81</v>
      </c>
      <c r="H159" s="1168">
        <v>3843.19</v>
      </c>
    </row>
    <row r="160" spans="1:8" ht="12.75">
      <c r="A160" s="1822" t="s">
        <v>1437</v>
      </c>
      <c r="B160" s="379" t="s">
        <v>1438</v>
      </c>
      <c r="C160" s="1823" t="s">
        <v>3455</v>
      </c>
      <c r="D160" s="379" t="s">
        <v>3422</v>
      </c>
      <c r="E160" s="1168">
        <v>484000</v>
      </c>
      <c r="F160" s="1168">
        <v>484000</v>
      </c>
      <c r="G160" s="1168">
        <v>483946.5</v>
      </c>
      <c r="H160" s="1168">
        <v>0</v>
      </c>
    </row>
    <row r="161" spans="1:8" ht="12.75">
      <c r="A161" s="1822">
        <v>2140214009</v>
      </c>
      <c r="B161" s="379" t="s">
        <v>1439</v>
      </c>
      <c r="C161" s="1823" t="s">
        <v>3457</v>
      </c>
      <c r="D161" s="379" t="s">
        <v>3422</v>
      </c>
      <c r="E161" s="1168">
        <v>120000</v>
      </c>
      <c r="F161" s="1168">
        <v>0</v>
      </c>
      <c r="G161" s="1168">
        <v>0</v>
      </c>
      <c r="H161" s="1168">
        <v>0</v>
      </c>
    </row>
    <row r="162" spans="1:8" ht="12.75">
      <c r="A162" s="1822">
        <v>2140214010</v>
      </c>
      <c r="B162" s="379" t="s">
        <v>1440</v>
      </c>
      <c r="C162" s="1823" t="s">
        <v>3208</v>
      </c>
      <c r="D162" s="379" t="s">
        <v>3422</v>
      </c>
      <c r="E162" s="1168">
        <v>700000</v>
      </c>
      <c r="F162" s="1168">
        <v>0</v>
      </c>
      <c r="G162" s="1168">
        <v>0</v>
      </c>
      <c r="H162" s="1168">
        <v>0</v>
      </c>
    </row>
    <row r="163" spans="1:8" ht="12.75">
      <c r="A163" s="1822" t="s">
        <v>1441</v>
      </c>
      <c r="B163" s="379" t="s">
        <v>1442</v>
      </c>
      <c r="C163" s="1823" t="s">
        <v>1428</v>
      </c>
      <c r="D163" s="379" t="s">
        <v>3422</v>
      </c>
      <c r="E163" s="1168">
        <v>0</v>
      </c>
      <c r="F163" s="1168">
        <v>3550000</v>
      </c>
      <c r="G163" s="1168">
        <v>3546200</v>
      </c>
      <c r="H163" s="1168">
        <v>3700</v>
      </c>
    </row>
    <row r="164" spans="1:8" ht="12.75">
      <c r="A164" s="1822" t="s">
        <v>1443</v>
      </c>
      <c r="B164" s="379" t="s">
        <v>1444</v>
      </c>
      <c r="C164" s="1823" t="s">
        <v>1428</v>
      </c>
      <c r="D164" s="379" t="s">
        <v>3422</v>
      </c>
      <c r="E164" s="1168">
        <v>0</v>
      </c>
      <c r="F164" s="1168">
        <v>307000</v>
      </c>
      <c r="G164" s="1168">
        <v>300677</v>
      </c>
      <c r="H164" s="1168">
        <v>6300</v>
      </c>
    </row>
    <row r="165" spans="1:8" ht="12.75">
      <c r="A165" s="1822" t="s">
        <v>1443</v>
      </c>
      <c r="B165" s="379" t="s">
        <v>1444</v>
      </c>
      <c r="C165" s="1823" t="s">
        <v>1428</v>
      </c>
      <c r="D165" s="379" t="s">
        <v>3423</v>
      </c>
      <c r="E165" s="1168">
        <v>0</v>
      </c>
      <c r="F165" s="1168">
        <v>43000</v>
      </c>
      <c r="G165" s="1168">
        <v>42840</v>
      </c>
      <c r="H165" s="1168">
        <v>0</v>
      </c>
    </row>
    <row r="166" spans="1:8" ht="12.75">
      <c r="A166" s="1822">
        <v>2140214019</v>
      </c>
      <c r="B166" s="379" t="s">
        <v>1445</v>
      </c>
      <c r="C166" s="1823" t="s">
        <v>1428</v>
      </c>
      <c r="D166" s="379" t="s">
        <v>3422</v>
      </c>
      <c r="E166" s="1168">
        <v>0</v>
      </c>
      <c r="F166" s="1168">
        <v>130000</v>
      </c>
      <c r="G166" s="1168">
        <v>119661.5</v>
      </c>
      <c r="H166" s="1168">
        <v>10300</v>
      </c>
    </row>
    <row r="167" spans="1:8" ht="12.75">
      <c r="A167" s="1822" t="s">
        <v>1446</v>
      </c>
      <c r="B167" s="379" t="s">
        <v>1447</v>
      </c>
      <c r="C167" s="1823" t="s">
        <v>3456</v>
      </c>
      <c r="D167" s="379" t="s">
        <v>3422</v>
      </c>
      <c r="E167" s="1168">
        <v>0</v>
      </c>
      <c r="F167" s="1168">
        <v>1370000</v>
      </c>
      <c r="G167" s="1168">
        <v>1369499</v>
      </c>
      <c r="H167" s="1168">
        <v>0</v>
      </c>
    </row>
    <row r="168" spans="1:8" ht="12.75">
      <c r="A168" s="1822" t="s">
        <v>1448</v>
      </c>
      <c r="B168" s="379" t="s">
        <v>1449</v>
      </c>
      <c r="C168" s="1823" t="s">
        <v>3458</v>
      </c>
      <c r="D168" s="379" t="s">
        <v>3422</v>
      </c>
      <c r="E168" s="1168">
        <v>0</v>
      </c>
      <c r="F168" s="1168">
        <v>285000</v>
      </c>
      <c r="G168" s="1168">
        <v>283759</v>
      </c>
      <c r="H168" s="1168">
        <v>1241</v>
      </c>
    </row>
    <row r="169" spans="1:8" ht="12.75">
      <c r="A169" s="1822" t="s">
        <v>1450</v>
      </c>
      <c r="B169" s="379" t="s">
        <v>1451</v>
      </c>
      <c r="C169" s="1823" t="s">
        <v>3457</v>
      </c>
      <c r="D169" s="379" t="s">
        <v>3422</v>
      </c>
      <c r="E169" s="1168">
        <v>0</v>
      </c>
      <c r="F169" s="1168">
        <v>144000</v>
      </c>
      <c r="G169" s="1168">
        <v>138873</v>
      </c>
      <c r="H169" s="1168">
        <v>5127</v>
      </c>
    </row>
    <row r="170" spans="1:8" ht="12.75">
      <c r="A170" s="1822" t="s">
        <v>1452</v>
      </c>
      <c r="B170" s="379" t="s">
        <v>1453</v>
      </c>
      <c r="C170" s="1823" t="s">
        <v>3457</v>
      </c>
      <c r="D170" s="379" t="s">
        <v>3423</v>
      </c>
      <c r="E170" s="1168">
        <v>0</v>
      </c>
      <c r="F170" s="1168">
        <v>120000</v>
      </c>
      <c r="G170" s="1168">
        <v>119987</v>
      </c>
      <c r="H170" s="1168">
        <v>13</v>
      </c>
    </row>
    <row r="171" spans="1:8" ht="12.75">
      <c r="A171" s="1822">
        <v>2140214024</v>
      </c>
      <c r="B171" s="379" t="s">
        <v>1454</v>
      </c>
      <c r="C171" s="1823" t="s">
        <v>3459</v>
      </c>
      <c r="D171" s="379" t="s">
        <v>3422</v>
      </c>
      <c r="E171" s="1168">
        <v>0</v>
      </c>
      <c r="F171" s="1168">
        <v>1162000</v>
      </c>
      <c r="G171" s="1168">
        <v>1091646.5</v>
      </c>
      <c r="H171" s="1168">
        <v>70353.5</v>
      </c>
    </row>
    <row r="172" spans="1:8" s="174" customFormat="1" ht="12.75">
      <c r="A172" s="1824" t="s">
        <v>1455</v>
      </c>
      <c r="B172" s="1825"/>
      <c r="C172" s="1825"/>
      <c r="D172" s="1826"/>
      <c r="E172" s="1821">
        <v>6029000</v>
      </c>
      <c r="F172" s="1821">
        <v>11483000</v>
      </c>
      <c r="G172" s="1821">
        <v>11374561.31</v>
      </c>
      <c r="H172" s="1821">
        <v>107517.69</v>
      </c>
    </row>
    <row r="173" spans="1:8" ht="12.75">
      <c r="A173" s="1822" t="s">
        <v>1456</v>
      </c>
      <c r="B173" s="379" t="s">
        <v>1457</v>
      </c>
      <c r="C173" s="1823" t="s">
        <v>3454</v>
      </c>
      <c r="D173" s="379" t="s">
        <v>3422</v>
      </c>
      <c r="E173" s="1168">
        <v>4500000</v>
      </c>
      <c r="F173" s="1168">
        <v>4500000</v>
      </c>
      <c r="G173" s="1168">
        <v>4444460.49</v>
      </c>
      <c r="H173" s="1168">
        <v>55539.51</v>
      </c>
    </row>
    <row r="174" spans="1:8" ht="12.75">
      <c r="A174" s="1822">
        <v>2140220004</v>
      </c>
      <c r="B174" s="379" t="s">
        <v>1458</v>
      </c>
      <c r="C174" s="1823" t="s">
        <v>3456</v>
      </c>
      <c r="D174" s="379" t="s">
        <v>3422</v>
      </c>
      <c r="E174" s="1168">
        <v>5700000</v>
      </c>
      <c r="F174" s="1168">
        <v>4330000</v>
      </c>
      <c r="G174" s="1168">
        <v>3187117.6</v>
      </c>
      <c r="H174" s="1168">
        <v>1142000</v>
      </c>
    </row>
    <row r="175" spans="1:8" ht="12.75">
      <c r="A175" s="1822" t="s">
        <v>1459</v>
      </c>
      <c r="B175" s="379" t="s">
        <v>1460</v>
      </c>
      <c r="C175" s="1823" t="s">
        <v>3459</v>
      </c>
      <c r="D175" s="379" t="s">
        <v>3422</v>
      </c>
      <c r="E175" s="1168">
        <v>0</v>
      </c>
      <c r="F175" s="1168">
        <v>4110000</v>
      </c>
      <c r="G175" s="1168">
        <v>4108332</v>
      </c>
      <c r="H175" s="1168">
        <v>1668</v>
      </c>
    </row>
    <row r="176" spans="1:8" ht="12.75">
      <c r="A176" s="1822" t="s">
        <v>1461</v>
      </c>
      <c r="B176" s="379" t="s">
        <v>1462</v>
      </c>
      <c r="C176" s="1823" t="s">
        <v>3454</v>
      </c>
      <c r="D176" s="379" t="s">
        <v>3422</v>
      </c>
      <c r="E176" s="1168">
        <v>0</v>
      </c>
      <c r="F176" s="1168">
        <v>1380000</v>
      </c>
      <c r="G176" s="1168">
        <v>1380000</v>
      </c>
      <c r="H176" s="1168">
        <v>0</v>
      </c>
    </row>
    <row r="177" spans="1:8" ht="12.75">
      <c r="A177" s="1822">
        <v>2140224001</v>
      </c>
      <c r="B177" s="379" t="s">
        <v>1463</v>
      </c>
      <c r="C177" s="1823" t="s">
        <v>3459</v>
      </c>
      <c r="D177" s="379" t="s">
        <v>3422</v>
      </c>
      <c r="E177" s="1168">
        <v>3600000</v>
      </c>
      <c r="F177" s="1168">
        <v>0</v>
      </c>
      <c r="G177" s="1168">
        <v>0</v>
      </c>
      <c r="H177" s="1168">
        <v>0</v>
      </c>
    </row>
    <row r="178" spans="1:8" ht="12.75">
      <c r="A178" s="1822" t="s">
        <v>1464</v>
      </c>
      <c r="B178" s="379" t="s">
        <v>1465</v>
      </c>
      <c r="C178" s="1823" t="s">
        <v>3459</v>
      </c>
      <c r="D178" s="379" t="s">
        <v>3422</v>
      </c>
      <c r="E178" s="1168">
        <v>2300000</v>
      </c>
      <c r="F178" s="1168">
        <v>2298000</v>
      </c>
      <c r="G178" s="1168">
        <v>2287480.99</v>
      </c>
      <c r="H178" s="1168">
        <v>10519.01</v>
      </c>
    </row>
    <row r="179" spans="1:8" ht="12.75">
      <c r="A179" s="1822" t="s">
        <v>1466</v>
      </c>
      <c r="B179" s="379" t="s">
        <v>1467</v>
      </c>
      <c r="C179" s="1823" t="s">
        <v>3459</v>
      </c>
      <c r="D179" s="379" t="s">
        <v>3422</v>
      </c>
      <c r="E179" s="1168">
        <v>4900000</v>
      </c>
      <c r="F179" s="1168">
        <v>3295000</v>
      </c>
      <c r="G179" s="1168">
        <v>3294934</v>
      </c>
      <c r="H179" s="1168">
        <v>66</v>
      </c>
    </row>
    <row r="180" spans="1:8" ht="12.75">
      <c r="A180" s="1822" t="s">
        <v>1468</v>
      </c>
      <c r="B180" s="379" t="s">
        <v>1469</v>
      </c>
      <c r="C180" s="1823" t="s">
        <v>1428</v>
      </c>
      <c r="D180" s="379" t="s">
        <v>3422</v>
      </c>
      <c r="E180" s="1168">
        <v>1600000</v>
      </c>
      <c r="F180" s="1168">
        <v>1544000</v>
      </c>
      <c r="G180" s="1168">
        <v>1543869</v>
      </c>
      <c r="H180" s="1168">
        <v>100</v>
      </c>
    </row>
    <row r="181" spans="1:8" ht="12.75">
      <c r="A181" s="1822" t="s">
        <v>1470</v>
      </c>
      <c r="B181" s="379" t="s">
        <v>1471</v>
      </c>
      <c r="C181" s="1823" t="s">
        <v>1428</v>
      </c>
      <c r="D181" s="379" t="s">
        <v>3422</v>
      </c>
      <c r="E181" s="1168">
        <v>850000</v>
      </c>
      <c r="F181" s="1168">
        <v>850000</v>
      </c>
      <c r="G181" s="1168">
        <v>832471.7</v>
      </c>
      <c r="H181" s="1168">
        <v>17500</v>
      </c>
    </row>
    <row r="182" spans="1:8" ht="12.75">
      <c r="A182" s="1822">
        <v>2140224006</v>
      </c>
      <c r="B182" s="379" t="s">
        <v>1472</v>
      </c>
      <c r="C182" s="1823" t="s">
        <v>1428</v>
      </c>
      <c r="D182" s="379" t="s">
        <v>3422</v>
      </c>
      <c r="E182" s="1168">
        <v>800000</v>
      </c>
      <c r="F182" s="1168">
        <v>800000</v>
      </c>
      <c r="G182" s="1168">
        <v>799680</v>
      </c>
      <c r="H182" s="1168">
        <v>300</v>
      </c>
    </row>
    <row r="183" spans="1:8" ht="12.75">
      <c r="A183" s="1822">
        <v>2140224007</v>
      </c>
      <c r="B183" s="379" t="s">
        <v>1442</v>
      </c>
      <c r="C183" s="1823" t="s">
        <v>1428</v>
      </c>
      <c r="D183" s="379" t="s">
        <v>3422</v>
      </c>
      <c r="E183" s="1168">
        <v>3550000</v>
      </c>
      <c r="F183" s="1168">
        <v>0</v>
      </c>
      <c r="G183" s="1168">
        <v>0</v>
      </c>
      <c r="H183" s="1168">
        <v>0</v>
      </c>
    </row>
    <row r="184" spans="1:8" ht="12.75">
      <c r="A184" s="1822" t="s">
        <v>1473</v>
      </c>
      <c r="B184" s="379" t="s">
        <v>1474</v>
      </c>
      <c r="C184" s="1823" t="s">
        <v>3458</v>
      </c>
      <c r="D184" s="379" t="s">
        <v>3422</v>
      </c>
      <c r="E184" s="1168">
        <v>150000</v>
      </c>
      <c r="F184" s="1168">
        <v>105000</v>
      </c>
      <c r="G184" s="1168">
        <v>104998</v>
      </c>
      <c r="H184" s="1168">
        <v>2</v>
      </c>
    </row>
    <row r="185" spans="1:8" ht="12.75">
      <c r="A185" s="1822">
        <v>2140224009</v>
      </c>
      <c r="B185" s="379" t="s">
        <v>1475</v>
      </c>
      <c r="C185" s="1823" t="s">
        <v>3458</v>
      </c>
      <c r="D185" s="379" t="s">
        <v>3422</v>
      </c>
      <c r="E185" s="1168">
        <v>550000</v>
      </c>
      <c r="F185" s="1168">
        <v>0</v>
      </c>
      <c r="G185" s="1168">
        <v>0</v>
      </c>
      <c r="H185" s="1168">
        <v>0</v>
      </c>
    </row>
    <row r="186" spans="1:8" ht="12.75">
      <c r="A186" s="1822" t="s">
        <v>1476</v>
      </c>
      <c r="B186" s="379" t="s">
        <v>1477</v>
      </c>
      <c r="C186" s="1823" t="s">
        <v>3458</v>
      </c>
      <c r="D186" s="379" t="s">
        <v>3422</v>
      </c>
      <c r="E186" s="1168">
        <v>400000</v>
      </c>
      <c r="F186" s="1168">
        <v>499000</v>
      </c>
      <c r="G186" s="1168">
        <v>498850</v>
      </c>
      <c r="H186" s="1168">
        <v>150</v>
      </c>
    </row>
    <row r="187" spans="1:8" ht="12.75">
      <c r="A187" s="1822" t="s">
        <v>1478</v>
      </c>
      <c r="B187" s="379" t="s">
        <v>1479</v>
      </c>
      <c r="C187" s="1823" t="s">
        <v>3458</v>
      </c>
      <c r="D187" s="379" t="s">
        <v>3422</v>
      </c>
      <c r="E187" s="1168">
        <v>150000</v>
      </c>
      <c r="F187" s="1168">
        <v>341000</v>
      </c>
      <c r="G187" s="1168">
        <v>340478</v>
      </c>
      <c r="H187" s="1168">
        <v>522</v>
      </c>
    </row>
    <row r="188" spans="1:8" ht="12.75">
      <c r="A188" s="1822" t="s">
        <v>1480</v>
      </c>
      <c r="B188" s="379" t="s">
        <v>1481</v>
      </c>
      <c r="C188" s="1823" t="s">
        <v>3454</v>
      </c>
      <c r="D188" s="379" t="s">
        <v>3422</v>
      </c>
      <c r="E188" s="1168">
        <v>325000</v>
      </c>
      <c r="F188" s="1168">
        <v>332000</v>
      </c>
      <c r="G188" s="1168">
        <v>331750</v>
      </c>
      <c r="H188" s="1168">
        <v>250</v>
      </c>
    </row>
    <row r="189" spans="1:8" ht="12.75">
      <c r="A189" s="1822">
        <v>2140224013</v>
      </c>
      <c r="B189" s="379" t="s">
        <v>1482</v>
      </c>
      <c r="C189" s="1823" t="s">
        <v>3454</v>
      </c>
      <c r="D189" s="379" t="s">
        <v>3422</v>
      </c>
      <c r="E189" s="1168">
        <v>200000</v>
      </c>
      <c r="F189" s="1168">
        <v>0</v>
      </c>
      <c r="G189" s="1168">
        <v>0</v>
      </c>
      <c r="H189" s="1168">
        <v>0</v>
      </c>
    </row>
    <row r="190" spans="1:8" ht="12.75">
      <c r="A190" s="1822">
        <v>2140224014</v>
      </c>
      <c r="B190" s="379" t="s">
        <v>1471</v>
      </c>
      <c r="C190" s="1823" t="s">
        <v>3454</v>
      </c>
      <c r="D190" s="379" t="s">
        <v>3422</v>
      </c>
      <c r="E190" s="1168">
        <v>250000</v>
      </c>
      <c r="F190" s="1168">
        <v>0</v>
      </c>
      <c r="G190" s="1168">
        <v>0</v>
      </c>
      <c r="H190" s="1168">
        <v>0</v>
      </c>
    </row>
    <row r="191" spans="1:8" ht="12.75">
      <c r="A191" s="1822">
        <v>2140224015</v>
      </c>
      <c r="B191" s="379" t="s">
        <v>1483</v>
      </c>
      <c r="C191" s="1823" t="s">
        <v>3454</v>
      </c>
      <c r="D191" s="379" t="s">
        <v>3422</v>
      </c>
      <c r="E191" s="1168">
        <v>350000</v>
      </c>
      <c r="F191" s="1168">
        <v>0</v>
      </c>
      <c r="G191" s="1168">
        <v>0</v>
      </c>
      <c r="H191" s="1168">
        <v>0</v>
      </c>
    </row>
    <row r="192" spans="1:8" ht="12.75">
      <c r="A192" s="1822">
        <v>2140224016</v>
      </c>
      <c r="B192" s="379" t="s">
        <v>1484</v>
      </c>
      <c r="C192" s="1823" t="s">
        <v>3454</v>
      </c>
      <c r="D192" s="379" t="s">
        <v>3422</v>
      </c>
      <c r="E192" s="1168">
        <v>500000</v>
      </c>
      <c r="F192" s="1168">
        <v>0</v>
      </c>
      <c r="G192" s="1168">
        <v>0</v>
      </c>
      <c r="H192" s="1168">
        <v>0</v>
      </c>
    </row>
    <row r="193" spans="1:8" ht="12.75">
      <c r="A193" s="1822" t="s">
        <v>1485</v>
      </c>
      <c r="B193" s="379" t="s">
        <v>1469</v>
      </c>
      <c r="C193" s="1823" t="s">
        <v>3455</v>
      </c>
      <c r="D193" s="379" t="s">
        <v>3422</v>
      </c>
      <c r="E193" s="1168">
        <v>5000000</v>
      </c>
      <c r="F193" s="1168">
        <v>5009000</v>
      </c>
      <c r="G193" s="1168">
        <v>5008461</v>
      </c>
      <c r="H193" s="1168">
        <v>0</v>
      </c>
    </row>
    <row r="194" spans="1:8" ht="12.75">
      <c r="A194" s="1822">
        <v>2140224018</v>
      </c>
      <c r="B194" s="379" t="s">
        <v>1486</v>
      </c>
      <c r="C194" s="1823" t="s">
        <v>3455</v>
      </c>
      <c r="D194" s="379" t="s">
        <v>3422</v>
      </c>
      <c r="E194" s="1168">
        <v>500000</v>
      </c>
      <c r="F194" s="1168">
        <v>500000</v>
      </c>
      <c r="G194" s="1168">
        <v>499527.08</v>
      </c>
      <c r="H194" s="1168">
        <v>0</v>
      </c>
    </row>
    <row r="195" spans="1:8" ht="12.75">
      <c r="A195" s="1822" t="s">
        <v>1487</v>
      </c>
      <c r="B195" s="379" t="s">
        <v>1488</v>
      </c>
      <c r="C195" s="1823" t="s">
        <v>3455</v>
      </c>
      <c r="D195" s="379" t="s">
        <v>3422</v>
      </c>
      <c r="E195" s="1168">
        <v>500000</v>
      </c>
      <c r="F195" s="1168">
        <v>491000</v>
      </c>
      <c r="G195" s="1168">
        <v>489923</v>
      </c>
      <c r="H195" s="1168">
        <v>0</v>
      </c>
    </row>
    <row r="196" spans="1:8" ht="12.75">
      <c r="A196" s="1822" t="s">
        <v>1489</v>
      </c>
      <c r="B196" s="379" t="s">
        <v>1490</v>
      </c>
      <c r="C196" s="1823" t="s">
        <v>3455</v>
      </c>
      <c r="D196" s="379" t="s">
        <v>3422</v>
      </c>
      <c r="E196" s="1168">
        <v>300000</v>
      </c>
      <c r="F196" s="1168">
        <v>300000</v>
      </c>
      <c r="G196" s="1168">
        <v>299555</v>
      </c>
      <c r="H196" s="1168">
        <v>0</v>
      </c>
    </row>
    <row r="197" spans="1:8" ht="12.75">
      <c r="A197" s="1822" t="s">
        <v>1491</v>
      </c>
      <c r="B197" s="379" t="s">
        <v>1492</v>
      </c>
      <c r="C197" s="1823" t="s">
        <v>3457</v>
      </c>
      <c r="D197" s="379" t="s">
        <v>3422</v>
      </c>
      <c r="E197" s="1168">
        <v>300000</v>
      </c>
      <c r="F197" s="1168">
        <v>548000</v>
      </c>
      <c r="G197" s="1168">
        <v>547257.5</v>
      </c>
      <c r="H197" s="1168">
        <v>742.5</v>
      </c>
    </row>
    <row r="198" spans="1:8" ht="12.75">
      <c r="A198" s="1822" t="s">
        <v>1493</v>
      </c>
      <c r="B198" s="379" t="s">
        <v>1494</v>
      </c>
      <c r="C198" s="1823" t="s">
        <v>3457</v>
      </c>
      <c r="D198" s="379" t="s">
        <v>3422</v>
      </c>
      <c r="E198" s="1168">
        <v>120000</v>
      </c>
      <c r="F198" s="1168">
        <v>120000</v>
      </c>
      <c r="G198" s="1168">
        <v>119990.1</v>
      </c>
      <c r="H198" s="1168">
        <v>9.9</v>
      </c>
    </row>
    <row r="199" spans="1:8" ht="12.75">
      <c r="A199" s="1822" t="s">
        <v>1495</v>
      </c>
      <c r="B199" s="379" t="s">
        <v>1496</v>
      </c>
      <c r="C199" s="1823" t="s">
        <v>3457</v>
      </c>
      <c r="D199" s="379" t="s">
        <v>3422</v>
      </c>
      <c r="E199" s="1168">
        <v>500000</v>
      </c>
      <c r="F199" s="1168">
        <v>300000</v>
      </c>
      <c r="G199" s="1168">
        <v>299880</v>
      </c>
      <c r="H199" s="1168">
        <v>120</v>
      </c>
    </row>
    <row r="200" spans="1:8" ht="12.75">
      <c r="A200" s="1822" t="s">
        <v>1497</v>
      </c>
      <c r="B200" s="379" t="s">
        <v>1498</v>
      </c>
      <c r="C200" s="1823" t="s">
        <v>3457</v>
      </c>
      <c r="D200" s="379" t="s">
        <v>3423</v>
      </c>
      <c r="E200" s="1168">
        <v>90000</v>
      </c>
      <c r="F200" s="1168">
        <v>62000</v>
      </c>
      <c r="G200" s="1168">
        <v>61773</v>
      </c>
      <c r="H200" s="1168">
        <v>227</v>
      </c>
    </row>
    <row r="201" spans="1:8" ht="12.75">
      <c r="A201" s="1822" t="s">
        <v>1499</v>
      </c>
      <c r="B201" s="379" t="s">
        <v>1500</v>
      </c>
      <c r="C201" s="1823" t="s">
        <v>3457</v>
      </c>
      <c r="D201" s="379" t="s">
        <v>3422</v>
      </c>
      <c r="E201" s="1168">
        <v>150000</v>
      </c>
      <c r="F201" s="1168">
        <v>150000</v>
      </c>
      <c r="G201" s="1168">
        <v>149888</v>
      </c>
      <c r="H201" s="1168">
        <v>112</v>
      </c>
    </row>
    <row r="202" spans="1:8" ht="12.75">
      <c r="A202" s="1822" t="s">
        <v>1501</v>
      </c>
      <c r="B202" s="379" t="s">
        <v>1502</v>
      </c>
      <c r="C202" s="1823" t="s">
        <v>3457</v>
      </c>
      <c r="D202" s="379" t="s">
        <v>3422</v>
      </c>
      <c r="E202" s="1168">
        <v>2240000</v>
      </c>
      <c r="F202" s="1168">
        <v>1787000</v>
      </c>
      <c r="G202" s="1168">
        <v>1786650</v>
      </c>
      <c r="H202" s="1168">
        <v>350</v>
      </c>
    </row>
    <row r="203" spans="1:8" ht="12.75">
      <c r="A203" s="1822" t="s">
        <v>1503</v>
      </c>
      <c r="B203" s="379" t="s">
        <v>1504</v>
      </c>
      <c r="C203" s="1823" t="s">
        <v>3457</v>
      </c>
      <c r="D203" s="379" t="s">
        <v>3422</v>
      </c>
      <c r="E203" s="1168">
        <v>2600000</v>
      </c>
      <c r="F203" s="1168">
        <v>3123000</v>
      </c>
      <c r="G203" s="1168">
        <v>3121573.9</v>
      </c>
      <c r="H203" s="1168">
        <v>1426.1</v>
      </c>
    </row>
    <row r="204" spans="1:8" ht="12.75">
      <c r="A204" s="1822" t="s">
        <v>1503</v>
      </c>
      <c r="B204" s="379" t="s">
        <v>1504</v>
      </c>
      <c r="C204" s="1823" t="s">
        <v>3457</v>
      </c>
      <c r="D204" s="379" t="s">
        <v>3423</v>
      </c>
      <c r="E204" s="1168">
        <v>0</v>
      </c>
      <c r="F204" s="1168">
        <v>115000</v>
      </c>
      <c r="G204" s="1168">
        <v>115000</v>
      </c>
      <c r="H204" s="1168">
        <v>0</v>
      </c>
    </row>
    <row r="205" spans="1:8" ht="12.75">
      <c r="A205" s="1822" t="s">
        <v>1505</v>
      </c>
      <c r="B205" s="379" t="s">
        <v>1506</v>
      </c>
      <c r="C205" s="1823" t="s">
        <v>3457</v>
      </c>
      <c r="D205" s="379" t="s">
        <v>3422</v>
      </c>
      <c r="E205" s="1168">
        <v>6989000</v>
      </c>
      <c r="F205" s="1168">
        <v>7049000</v>
      </c>
      <c r="G205" s="1168">
        <v>7040989.12</v>
      </c>
      <c r="H205" s="1168">
        <v>8010.8</v>
      </c>
    </row>
    <row r="206" spans="1:8" ht="12.75">
      <c r="A206" s="1822" t="s">
        <v>1507</v>
      </c>
      <c r="B206" s="379" t="s">
        <v>1508</v>
      </c>
      <c r="C206" s="1823" t="s">
        <v>3457</v>
      </c>
      <c r="D206" s="379" t="s">
        <v>3422</v>
      </c>
      <c r="E206" s="1168">
        <v>4001000</v>
      </c>
      <c r="F206" s="1168">
        <v>4322000</v>
      </c>
      <c r="G206" s="1168">
        <v>4320536</v>
      </c>
      <c r="H206" s="1168">
        <v>1464</v>
      </c>
    </row>
    <row r="207" spans="1:8" ht="12.75">
      <c r="A207" s="1822" t="s">
        <v>1509</v>
      </c>
      <c r="B207" s="379" t="s">
        <v>1510</v>
      </c>
      <c r="C207" s="1823" t="s">
        <v>3457</v>
      </c>
      <c r="D207" s="379" t="s">
        <v>3422</v>
      </c>
      <c r="E207" s="1168">
        <v>2750000</v>
      </c>
      <c r="F207" s="1168">
        <v>3047000</v>
      </c>
      <c r="G207" s="1168">
        <v>3045834</v>
      </c>
      <c r="H207" s="1168">
        <v>1166</v>
      </c>
    </row>
    <row r="208" spans="1:8" ht="12.75">
      <c r="A208" s="1822" t="s">
        <v>1511</v>
      </c>
      <c r="B208" s="379" t="s">
        <v>1512</v>
      </c>
      <c r="C208" s="1823" t="s">
        <v>3208</v>
      </c>
      <c r="D208" s="379" t="s">
        <v>3422</v>
      </c>
      <c r="E208" s="1168">
        <v>1100000</v>
      </c>
      <c r="F208" s="1168">
        <v>455000</v>
      </c>
      <c r="G208" s="1168">
        <v>454035</v>
      </c>
      <c r="H208" s="1168">
        <v>965</v>
      </c>
    </row>
    <row r="209" spans="1:8" ht="12.75">
      <c r="A209" s="1822" t="s">
        <v>1511</v>
      </c>
      <c r="B209" s="379" t="s">
        <v>1512</v>
      </c>
      <c r="C209" s="1823" t="s">
        <v>3208</v>
      </c>
      <c r="D209" s="379" t="s">
        <v>3423</v>
      </c>
      <c r="E209" s="1168">
        <v>0</v>
      </c>
      <c r="F209" s="1168">
        <v>646000</v>
      </c>
      <c r="G209" s="1168">
        <v>645955.8</v>
      </c>
      <c r="H209" s="1168">
        <v>44.2</v>
      </c>
    </row>
    <row r="210" spans="1:8" ht="12.75">
      <c r="A210" s="1822" t="s">
        <v>1513</v>
      </c>
      <c r="B210" s="379" t="s">
        <v>1514</v>
      </c>
      <c r="C210" s="1823" t="s">
        <v>3208</v>
      </c>
      <c r="D210" s="379" t="s">
        <v>3422</v>
      </c>
      <c r="E210" s="1168">
        <v>1000000</v>
      </c>
      <c r="F210" s="1168">
        <v>1000000</v>
      </c>
      <c r="G210" s="1168">
        <v>999981</v>
      </c>
      <c r="H210" s="1168">
        <v>19</v>
      </c>
    </row>
    <row r="211" spans="1:8" ht="12.75">
      <c r="A211" s="1822" t="s">
        <v>1515</v>
      </c>
      <c r="B211" s="379" t="s">
        <v>1440</v>
      </c>
      <c r="C211" s="1823" t="s">
        <v>3208</v>
      </c>
      <c r="D211" s="379" t="s">
        <v>3422</v>
      </c>
      <c r="E211" s="1168">
        <v>0</v>
      </c>
      <c r="F211" s="1168">
        <v>699000</v>
      </c>
      <c r="G211" s="1168">
        <v>698875.1</v>
      </c>
      <c r="H211" s="1168">
        <v>124.8</v>
      </c>
    </row>
    <row r="212" spans="1:8" ht="12.75">
      <c r="A212" s="1822">
        <v>2140224034</v>
      </c>
      <c r="B212" s="379" t="s">
        <v>1516</v>
      </c>
      <c r="C212" s="1823" t="s">
        <v>1428</v>
      </c>
      <c r="D212" s="379" t="s">
        <v>3422</v>
      </c>
      <c r="E212" s="1168">
        <v>0</v>
      </c>
      <c r="F212" s="1168">
        <v>70000</v>
      </c>
      <c r="G212" s="1168">
        <v>69500</v>
      </c>
      <c r="H212" s="1168">
        <v>500</v>
      </c>
    </row>
    <row r="213" spans="1:8" ht="12.75">
      <c r="A213" s="1822" t="s">
        <v>1517</v>
      </c>
      <c r="B213" s="379" t="s">
        <v>1518</v>
      </c>
      <c r="C213" s="1823" t="s">
        <v>3458</v>
      </c>
      <c r="D213" s="379" t="s">
        <v>3422</v>
      </c>
      <c r="E213" s="1168">
        <v>0</v>
      </c>
      <c r="F213" s="1168">
        <v>285000</v>
      </c>
      <c r="G213" s="1168">
        <v>284093.5</v>
      </c>
      <c r="H213" s="1168">
        <v>906.5</v>
      </c>
    </row>
    <row r="214" spans="1:8" ht="12.75">
      <c r="A214" s="1822" t="s">
        <v>1519</v>
      </c>
      <c r="B214" s="379" t="s">
        <v>1520</v>
      </c>
      <c r="C214" s="1823" t="s">
        <v>3457</v>
      </c>
      <c r="D214" s="379" t="s">
        <v>3422</v>
      </c>
      <c r="E214" s="1168">
        <v>0</v>
      </c>
      <c r="F214" s="1168">
        <v>84000</v>
      </c>
      <c r="G214" s="1168">
        <v>84000</v>
      </c>
      <c r="H214" s="1168">
        <v>0</v>
      </c>
    </row>
    <row r="215" spans="1:8" ht="12.75">
      <c r="A215" s="1822" t="s">
        <v>1521</v>
      </c>
      <c r="B215" s="379" t="s">
        <v>1522</v>
      </c>
      <c r="C215" s="1823" t="s">
        <v>3457</v>
      </c>
      <c r="D215" s="379" t="s">
        <v>3422</v>
      </c>
      <c r="E215" s="1168">
        <v>0</v>
      </c>
      <c r="F215" s="1168">
        <v>300000</v>
      </c>
      <c r="G215" s="1168">
        <v>284729</v>
      </c>
      <c r="H215" s="1168">
        <v>15271</v>
      </c>
    </row>
    <row r="216" spans="1:8" ht="12.75">
      <c r="A216" s="1822" t="s">
        <v>1523</v>
      </c>
      <c r="B216" s="379" t="s">
        <v>1524</v>
      </c>
      <c r="C216" s="1823" t="s">
        <v>3459</v>
      </c>
      <c r="D216" s="379" t="s">
        <v>3422</v>
      </c>
      <c r="E216" s="1168">
        <v>0</v>
      </c>
      <c r="F216" s="1168">
        <v>328000</v>
      </c>
      <c r="G216" s="1168">
        <v>327993.8</v>
      </c>
      <c r="H216" s="1168">
        <v>6.2</v>
      </c>
    </row>
    <row r="217" spans="1:8" s="174" customFormat="1" ht="12.75">
      <c r="A217" s="1824" t="s">
        <v>1525</v>
      </c>
      <c r="B217" s="1825"/>
      <c r="C217" s="1825"/>
      <c r="D217" s="1826"/>
      <c r="E217" s="1821">
        <v>58815000</v>
      </c>
      <c r="F217" s="1821">
        <v>55174000</v>
      </c>
      <c r="G217" s="1821">
        <v>53910422.68</v>
      </c>
      <c r="H217" s="1821">
        <v>1260081.52</v>
      </c>
    </row>
    <row r="218" spans="1:8" ht="12.75">
      <c r="A218" s="1822" t="s">
        <v>1526</v>
      </c>
      <c r="B218" s="379" t="s">
        <v>1527</v>
      </c>
      <c r="C218" s="1823" t="s">
        <v>3497</v>
      </c>
      <c r="D218" s="379" t="s">
        <v>3422</v>
      </c>
      <c r="E218" s="1168">
        <v>2000000</v>
      </c>
      <c r="F218" s="1168">
        <v>2340000</v>
      </c>
      <c r="G218" s="1168">
        <v>2335455.45</v>
      </c>
      <c r="H218" s="1168">
        <v>4544.55</v>
      </c>
    </row>
    <row r="219" spans="1:8" s="174" customFormat="1" ht="12.75">
      <c r="A219" s="1824" t="s">
        <v>1528</v>
      </c>
      <c r="B219" s="1825"/>
      <c r="C219" s="1825"/>
      <c r="D219" s="1826"/>
      <c r="E219" s="1821">
        <v>2000000</v>
      </c>
      <c r="F219" s="1821">
        <v>2340000</v>
      </c>
      <c r="G219" s="1821">
        <v>2335455.45</v>
      </c>
      <c r="H219" s="1821">
        <v>4544.55</v>
      </c>
    </row>
    <row r="220" spans="1:8" ht="12.75">
      <c r="A220" s="1822">
        <v>2140244001</v>
      </c>
      <c r="B220" s="379" t="s">
        <v>1529</v>
      </c>
      <c r="C220" s="1823" t="s">
        <v>2644</v>
      </c>
      <c r="D220" s="379" t="s">
        <v>3422</v>
      </c>
      <c r="E220" s="1168">
        <v>480000</v>
      </c>
      <c r="F220" s="1168">
        <v>0</v>
      </c>
      <c r="G220" s="1168">
        <v>0</v>
      </c>
      <c r="H220" s="1168">
        <v>0</v>
      </c>
    </row>
    <row r="221" spans="1:8" ht="12.75">
      <c r="A221" s="1822" t="s">
        <v>1530</v>
      </c>
      <c r="B221" s="379" t="s">
        <v>1531</v>
      </c>
      <c r="C221" s="1823" t="s">
        <v>2644</v>
      </c>
      <c r="D221" s="379" t="s">
        <v>3422</v>
      </c>
      <c r="E221" s="1168">
        <v>210000</v>
      </c>
      <c r="F221" s="1168">
        <v>209000</v>
      </c>
      <c r="G221" s="1168">
        <v>208134</v>
      </c>
      <c r="H221" s="1168">
        <v>0</v>
      </c>
    </row>
    <row r="222" spans="1:8" ht="12.75">
      <c r="A222" s="1822">
        <v>2140244003</v>
      </c>
      <c r="B222" s="379" t="s">
        <v>1532</v>
      </c>
      <c r="C222" s="1823" t="s">
        <v>2644</v>
      </c>
      <c r="D222" s="379" t="s">
        <v>3422</v>
      </c>
      <c r="E222" s="1168">
        <v>65000</v>
      </c>
      <c r="F222" s="1168">
        <v>0</v>
      </c>
      <c r="G222" s="1168">
        <v>0</v>
      </c>
      <c r="H222" s="1168">
        <v>0</v>
      </c>
    </row>
    <row r="223" spans="1:8" ht="12.75">
      <c r="A223" s="1822">
        <v>2140244004</v>
      </c>
      <c r="B223" s="379" t="s">
        <v>1533</v>
      </c>
      <c r="C223" s="1823" t="s">
        <v>2644</v>
      </c>
      <c r="D223" s="379" t="s">
        <v>3422</v>
      </c>
      <c r="E223" s="1168">
        <v>450000</v>
      </c>
      <c r="F223" s="1168">
        <v>0</v>
      </c>
      <c r="G223" s="1168">
        <v>0</v>
      </c>
      <c r="H223" s="1168">
        <v>0</v>
      </c>
    </row>
    <row r="224" spans="1:8" ht="12.75">
      <c r="A224" s="1822">
        <v>2140244005</v>
      </c>
      <c r="B224" s="379" t="s">
        <v>1534</v>
      </c>
      <c r="C224" s="1823" t="s">
        <v>2644</v>
      </c>
      <c r="D224" s="379" t="s">
        <v>3422</v>
      </c>
      <c r="E224" s="1168">
        <v>2000000</v>
      </c>
      <c r="F224" s="1168">
        <v>0</v>
      </c>
      <c r="G224" s="1168">
        <v>0</v>
      </c>
      <c r="H224" s="1168">
        <v>0</v>
      </c>
    </row>
    <row r="225" spans="1:8" ht="12.75">
      <c r="A225" s="1822" t="s">
        <v>1535</v>
      </c>
      <c r="B225" s="379" t="s">
        <v>1536</v>
      </c>
      <c r="C225" s="1823" t="s">
        <v>2644</v>
      </c>
      <c r="D225" s="379" t="s">
        <v>3422</v>
      </c>
      <c r="E225" s="1168">
        <v>0</v>
      </c>
      <c r="F225" s="1168">
        <v>2734000</v>
      </c>
      <c r="G225" s="1168">
        <v>2733155.2</v>
      </c>
      <c r="H225" s="1168">
        <v>0</v>
      </c>
    </row>
    <row r="226" spans="1:8" ht="12.75">
      <c r="A226" s="1822">
        <v>2140244007</v>
      </c>
      <c r="B226" s="379" t="s">
        <v>1537</v>
      </c>
      <c r="C226" s="1823" t="s">
        <v>2644</v>
      </c>
      <c r="D226" s="379" t="s">
        <v>3422</v>
      </c>
      <c r="E226" s="1168">
        <v>0</v>
      </c>
      <c r="F226" s="1168">
        <v>77000</v>
      </c>
      <c r="G226" s="1168">
        <v>76696.5</v>
      </c>
      <c r="H226" s="1168">
        <v>0</v>
      </c>
    </row>
    <row r="227" spans="1:8" s="174" customFormat="1" ht="12.75">
      <c r="A227" s="1824" t="s">
        <v>1538</v>
      </c>
      <c r="B227" s="1825"/>
      <c r="C227" s="1825"/>
      <c r="D227" s="1826"/>
      <c r="E227" s="1821">
        <v>3205000</v>
      </c>
      <c r="F227" s="1821">
        <v>3020000</v>
      </c>
      <c r="G227" s="1821">
        <v>3017985.7</v>
      </c>
      <c r="H227" s="1821">
        <v>0</v>
      </c>
    </row>
    <row r="228" spans="1:8" ht="12.75">
      <c r="A228" s="1822" t="s">
        <v>1539</v>
      </c>
      <c r="B228" s="379" t="s">
        <v>1540</v>
      </c>
      <c r="C228" s="1823" t="s">
        <v>3459</v>
      </c>
      <c r="D228" s="379" t="s">
        <v>3422</v>
      </c>
      <c r="E228" s="1168">
        <v>7574000</v>
      </c>
      <c r="F228" s="1168">
        <v>9179000</v>
      </c>
      <c r="G228" s="1168">
        <v>9166877.4</v>
      </c>
      <c r="H228" s="1168">
        <v>12122.6</v>
      </c>
    </row>
    <row r="229" spans="1:8" ht="12.75">
      <c r="A229" s="1822" t="s">
        <v>1541</v>
      </c>
      <c r="B229" s="379" t="s">
        <v>1542</v>
      </c>
      <c r="C229" s="1823" t="s">
        <v>3454</v>
      </c>
      <c r="D229" s="379" t="s">
        <v>3422</v>
      </c>
      <c r="E229" s="1168">
        <v>4840000</v>
      </c>
      <c r="F229" s="1168">
        <v>4840000</v>
      </c>
      <c r="G229" s="1168">
        <v>4840000</v>
      </c>
      <c r="H229" s="1168">
        <v>0</v>
      </c>
    </row>
    <row r="230" spans="1:8" ht="12.75">
      <c r="A230" s="1822" t="s">
        <v>1543</v>
      </c>
      <c r="B230" s="379" t="s">
        <v>1544</v>
      </c>
      <c r="C230" s="1823" t="s">
        <v>3455</v>
      </c>
      <c r="D230" s="379" t="s">
        <v>3422</v>
      </c>
      <c r="E230" s="1168">
        <v>3610000</v>
      </c>
      <c r="F230" s="1168">
        <v>3610000</v>
      </c>
      <c r="G230" s="1168">
        <v>3607999.5</v>
      </c>
      <c r="H230" s="1168">
        <v>0</v>
      </c>
    </row>
    <row r="231" spans="1:8" ht="12.75">
      <c r="A231" s="1822" t="s">
        <v>1545</v>
      </c>
      <c r="B231" s="379" t="s">
        <v>1544</v>
      </c>
      <c r="C231" s="1823" t="s">
        <v>3457</v>
      </c>
      <c r="D231" s="379" t="s">
        <v>3422</v>
      </c>
      <c r="E231" s="1168">
        <v>4000000</v>
      </c>
      <c r="F231" s="1168">
        <v>2589000</v>
      </c>
      <c r="G231" s="1168">
        <v>2588452.3</v>
      </c>
      <c r="H231" s="1168">
        <v>547.7</v>
      </c>
    </row>
    <row r="232" spans="1:8" ht="12.75">
      <c r="A232" s="1822" t="s">
        <v>1546</v>
      </c>
      <c r="B232" s="379" t="s">
        <v>1547</v>
      </c>
      <c r="C232" s="1823" t="s">
        <v>2644</v>
      </c>
      <c r="D232" s="379" t="s">
        <v>3422</v>
      </c>
      <c r="E232" s="1168">
        <v>1000000</v>
      </c>
      <c r="F232" s="1168">
        <v>1654000</v>
      </c>
      <c r="G232" s="1168">
        <v>1653782</v>
      </c>
      <c r="H232" s="1168">
        <v>0</v>
      </c>
    </row>
    <row r="233" spans="1:8" ht="12.75">
      <c r="A233" s="1822" t="s">
        <v>1548</v>
      </c>
      <c r="B233" s="379" t="s">
        <v>1549</v>
      </c>
      <c r="C233" s="1823" t="s">
        <v>3497</v>
      </c>
      <c r="D233" s="379" t="s">
        <v>3422</v>
      </c>
      <c r="E233" s="1168">
        <v>3000000</v>
      </c>
      <c r="F233" s="1168">
        <v>1860000</v>
      </c>
      <c r="G233" s="1168">
        <v>1848205</v>
      </c>
      <c r="H233" s="1168">
        <v>11795</v>
      </c>
    </row>
    <row r="234" spans="1:8" ht="12.75">
      <c r="A234" s="1822" t="s">
        <v>1550</v>
      </c>
      <c r="B234" s="379" t="s">
        <v>1544</v>
      </c>
      <c r="C234" s="1823" t="s">
        <v>3208</v>
      </c>
      <c r="D234" s="379" t="s">
        <v>3422</v>
      </c>
      <c r="E234" s="1168">
        <v>1000000</v>
      </c>
      <c r="F234" s="1168">
        <v>1000000</v>
      </c>
      <c r="G234" s="1168">
        <v>999909</v>
      </c>
      <c r="H234" s="1168">
        <v>91</v>
      </c>
    </row>
    <row r="235" spans="1:8" ht="12.75">
      <c r="A235" s="1822" t="s">
        <v>1551</v>
      </c>
      <c r="B235" s="379" t="s">
        <v>1552</v>
      </c>
      <c r="C235" s="1823" t="s">
        <v>2644</v>
      </c>
      <c r="D235" s="379" t="s">
        <v>3422</v>
      </c>
      <c r="E235" s="1168">
        <v>0</v>
      </c>
      <c r="F235" s="1168">
        <v>1575000</v>
      </c>
      <c r="G235" s="1168">
        <v>1574742.8</v>
      </c>
      <c r="H235" s="1168">
        <v>0</v>
      </c>
    </row>
    <row r="236" spans="1:8" ht="12.75">
      <c r="A236" s="1822" t="s">
        <v>1553</v>
      </c>
      <c r="B236" s="379" t="s">
        <v>1554</v>
      </c>
      <c r="C236" s="1823" t="s">
        <v>3497</v>
      </c>
      <c r="D236" s="379" t="s">
        <v>3422</v>
      </c>
      <c r="E236" s="1168">
        <v>0</v>
      </c>
      <c r="F236" s="1168">
        <v>800000</v>
      </c>
      <c r="G236" s="1168">
        <v>789380</v>
      </c>
      <c r="H236" s="1168">
        <v>10620</v>
      </c>
    </row>
    <row r="237" spans="1:8" ht="12.75">
      <c r="A237" s="1822" t="s">
        <v>1555</v>
      </c>
      <c r="B237" s="379" t="s">
        <v>1556</v>
      </c>
      <c r="C237" s="1823" t="s">
        <v>2644</v>
      </c>
      <c r="D237" s="379" t="s">
        <v>3422</v>
      </c>
      <c r="E237" s="1168">
        <v>0</v>
      </c>
      <c r="F237" s="1168">
        <v>173000</v>
      </c>
      <c r="G237" s="1168">
        <v>172991.35</v>
      </c>
      <c r="H237" s="1168">
        <v>0</v>
      </c>
    </row>
    <row r="238" spans="1:8" ht="12.75">
      <c r="A238" s="1822">
        <v>2140294011</v>
      </c>
      <c r="B238" s="379" t="s">
        <v>1557</v>
      </c>
      <c r="C238" s="1823" t="s">
        <v>2644</v>
      </c>
      <c r="D238" s="379" t="s">
        <v>3423</v>
      </c>
      <c r="E238" s="1168">
        <v>0</v>
      </c>
      <c r="F238" s="1168">
        <v>36000</v>
      </c>
      <c r="G238" s="1168">
        <v>35557</v>
      </c>
      <c r="H238" s="1168">
        <v>0</v>
      </c>
    </row>
    <row r="239" spans="1:8" ht="12.75">
      <c r="A239" s="1822" t="s">
        <v>1558</v>
      </c>
      <c r="B239" s="379" t="s">
        <v>1559</v>
      </c>
      <c r="C239" s="1823" t="s">
        <v>2644</v>
      </c>
      <c r="D239" s="379" t="s">
        <v>3422</v>
      </c>
      <c r="E239" s="1168">
        <v>0</v>
      </c>
      <c r="F239" s="1168">
        <v>185000</v>
      </c>
      <c r="G239" s="1168">
        <v>184870</v>
      </c>
      <c r="H239" s="1168">
        <v>0</v>
      </c>
    </row>
    <row r="240" spans="1:8" s="174" customFormat="1" ht="12.75">
      <c r="A240" s="1824" t="s">
        <v>1560</v>
      </c>
      <c r="B240" s="1825"/>
      <c r="C240" s="1825"/>
      <c r="D240" s="1826"/>
      <c r="E240" s="1821">
        <v>25024000</v>
      </c>
      <c r="F240" s="1821">
        <v>27501000</v>
      </c>
      <c r="G240" s="1821">
        <v>27462766.35</v>
      </c>
      <c r="H240" s="1821">
        <v>35176.3</v>
      </c>
    </row>
    <row r="241" spans="1:8" s="174" customFormat="1" ht="12.75">
      <c r="A241" s="1824" t="s">
        <v>1561</v>
      </c>
      <c r="B241" s="1825"/>
      <c r="C241" s="1825"/>
      <c r="D241" s="1826"/>
      <c r="E241" s="1821">
        <f>SUM(E172,E217,E219,E227,E240)</f>
        <v>95073000</v>
      </c>
      <c r="F241" s="1821">
        <f>SUM(F172,F217,F219,F227,F240)</f>
        <v>99518000</v>
      </c>
      <c r="G241" s="1821">
        <f>SUM(G172,G217,G219,G227,G240)</f>
        <v>98101191.49000001</v>
      </c>
      <c r="H241" s="1821">
        <f>SUM(H172,H217,H219,H227,H240)</f>
        <v>1407320.06</v>
      </c>
    </row>
    <row r="242" spans="1:8" ht="12.75">
      <c r="A242" s="1822" t="s">
        <v>1562</v>
      </c>
      <c r="B242" s="379" t="s">
        <v>1563</v>
      </c>
      <c r="C242" s="1823" t="s">
        <v>2647</v>
      </c>
      <c r="D242" s="379" t="s">
        <v>3422</v>
      </c>
      <c r="E242" s="1168">
        <v>626000</v>
      </c>
      <c r="F242" s="1168">
        <v>576000</v>
      </c>
      <c r="G242" s="1168">
        <v>567926.4</v>
      </c>
      <c r="H242" s="1168">
        <v>8073.6</v>
      </c>
    </row>
    <row r="243" spans="1:8" ht="12.75">
      <c r="A243" s="1822" t="s">
        <v>1562</v>
      </c>
      <c r="B243" s="379" t="s">
        <v>1563</v>
      </c>
      <c r="C243" s="1823" t="s">
        <v>2647</v>
      </c>
      <c r="D243" s="379" t="s">
        <v>3423</v>
      </c>
      <c r="E243" s="1168">
        <v>0</v>
      </c>
      <c r="F243" s="1168">
        <v>50000</v>
      </c>
      <c r="G243" s="1168">
        <v>46983.6</v>
      </c>
      <c r="H243" s="1168">
        <v>0</v>
      </c>
    </row>
    <row r="244" spans="1:8" ht="12.75">
      <c r="A244" s="1822" t="s">
        <v>1564</v>
      </c>
      <c r="B244" s="379" t="s">
        <v>1425</v>
      </c>
      <c r="C244" s="1823" t="s">
        <v>2648</v>
      </c>
      <c r="D244" s="379" t="s">
        <v>3422</v>
      </c>
      <c r="E244" s="1168">
        <v>80000</v>
      </c>
      <c r="F244" s="1168">
        <v>0</v>
      </c>
      <c r="G244" s="1168">
        <v>0</v>
      </c>
      <c r="H244" s="1168">
        <v>0</v>
      </c>
    </row>
    <row r="245" spans="1:8" ht="12.75">
      <c r="A245" s="1822" t="s">
        <v>1564</v>
      </c>
      <c r="B245" s="379" t="s">
        <v>1425</v>
      </c>
      <c r="C245" s="1823" t="s">
        <v>2648</v>
      </c>
      <c r="D245" s="379" t="s">
        <v>3423</v>
      </c>
      <c r="E245" s="1168">
        <v>520000</v>
      </c>
      <c r="F245" s="1168">
        <v>534000</v>
      </c>
      <c r="G245" s="1168">
        <v>465354.4</v>
      </c>
      <c r="H245" s="1168">
        <v>68000</v>
      </c>
    </row>
    <row r="246" spans="1:8" ht="12.75">
      <c r="A246" s="1822" t="s">
        <v>1565</v>
      </c>
      <c r="B246" s="379" t="s">
        <v>1453</v>
      </c>
      <c r="C246" s="1823" t="s">
        <v>2650</v>
      </c>
      <c r="D246" s="379" t="s">
        <v>3422</v>
      </c>
      <c r="E246" s="1168">
        <v>210000</v>
      </c>
      <c r="F246" s="1168">
        <v>937000</v>
      </c>
      <c r="G246" s="1168">
        <v>909199.89</v>
      </c>
      <c r="H246" s="1168">
        <v>27800</v>
      </c>
    </row>
    <row r="247" spans="1:8" ht="12.75">
      <c r="A247" s="1822" t="s">
        <v>1565</v>
      </c>
      <c r="B247" s="379" t="s">
        <v>1453</v>
      </c>
      <c r="C247" s="1823" t="s">
        <v>2650</v>
      </c>
      <c r="D247" s="379" t="s">
        <v>3423</v>
      </c>
      <c r="E247" s="1168">
        <v>85000</v>
      </c>
      <c r="F247" s="1168">
        <v>108000</v>
      </c>
      <c r="G247" s="1168">
        <v>107100</v>
      </c>
      <c r="H247" s="1168">
        <v>900</v>
      </c>
    </row>
    <row r="248" spans="1:8" ht="12.75">
      <c r="A248" s="1822" t="s">
        <v>1566</v>
      </c>
      <c r="B248" s="379" t="s">
        <v>1567</v>
      </c>
      <c r="C248" s="1823" t="s">
        <v>2651</v>
      </c>
      <c r="D248" s="379" t="s">
        <v>3422</v>
      </c>
      <c r="E248" s="1168">
        <v>80000</v>
      </c>
      <c r="F248" s="1168">
        <v>63000</v>
      </c>
      <c r="G248" s="1168">
        <v>62750</v>
      </c>
      <c r="H248" s="1168">
        <v>0</v>
      </c>
    </row>
    <row r="249" spans="1:8" ht="12.75">
      <c r="A249" s="1822" t="s">
        <v>1568</v>
      </c>
      <c r="B249" s="379" t="s">
        <v>1569</v>
      </c>
      <c r="C249" s="1823" t="s">
        <v>2649</v>
      </c>
      <c r="D249" s="379" t="s">
        <v>3422</v>
      </c>
      <c r="E249" s="1168">
        <v>120000</v>
      </c>
      <c r="F249" s="1168">
        <v>109000</v>
      </c>
      <c r="G249" s="1168">
        <v>108504</v>
      </c>
      <c r="H249" s="1168">
        <v>496</v>
      </c>
    </row>
    <row r="250" spans="1:8" ht="12.75">
      <c r="A250" s="1822" t="s">
        <v>1570</v>
      </c>
      <c r="B250" s="379" t="s">
        <v>1571</v>
      </c>
      <c r="C250" s="1823" t="s">
        <v>2649</v>
      </c>
      <c r="D250" s="379" t="s">
        <v>3422</v>
      </c>
      <c r="E250" s="1168">
        <v>400000</v>
      </c>
      <c r="F250" s="1168">
        <v>411000</v>
      </c>
      <c r="G250" s="1168">
        <v>410003</v>
      </c>
      <c r="H250" s="1168">
        <v>997</v>
      </c>
    </row>
    <row r="251" spans="1:8" ht="12.75">
      <c r="A251" s="1822" t="s">
        <v>1572</v>
      </c>
      <c r="B251" s="379" t="s">
        <v>1425</v>
      </c>
      <c r="C251" s="1823" t="s">
        <v>2652</v>
      </c>
      <c r="D251" s="379" t="s">
        <v>3422</v>
      </c>
      <c r="E251" s="1168">
        <v>400000</v>
      </c>
      <c r="F251" s="1168">
        <v>232000</v>
      </c>
      <c r="G251" s="1168">
        <v>231955</v>
      </c>
      <c r="H251" s="1168">
        <v>0</v>
      </c>
    </row>
    <row r="252" spans="1:8" ht="12.75">
      <c r="A252" s="1822" t="s">
        <v>1572</v>
      </c>
      <c r="B252" s="379" t="s">
        <v>1425</v>
      </c>
      <c r="C252" s="1823" t="s">
        <v>2652</v>
      </c>
      <c r="D252" s="379" t="s">
        <v>3423</v>
      </c>
      <c r="E252" s="1168">
        <v>150000</v>
      </c>
      <c r="F252" s="1168">
        <v>344000</v>
      </c>
      <c r="G252" s="1168">
        <v>343553</v>
      </c>
      <c r="H252" s="1168">
        <v>0</v>
      </c>
    </row>
    <row r="253" spans="1:8" ht="12.75">
      <c r="A253" s="1822" t="s">
        <v>1573</v>
      </c>
      <c r="B253" s="379" t="s">
        <v>1574</v>
      </c>
      <c r="C253" s="1823" t="s">
        <v>2699</v>
      </c>
      <c r="D253" s="379" t="s">
        <v>3422</v>
      </c>
      <c r="E253" s="1168">
        <v>419000</v>
      </c>
      <c r="F253" s="1168">
        <v>367000</v>
      </c>
      <c r="G253" s="1168">
        <v>330717.5</v>
      </c>
      <c r="H253" s="1168">
        <v>36282.5</v>
      </c>
    </row>
    <row r="254" spans="1:8" ht="12.75">
      <c r="A254" s="1822" t="s">
        <v>1573</v>
      </c>
      <c r="B254" s="379" t="s">
        <v>1574</v>
      </c>
      <c r="C254" s="1823" t="s">
        <v>2699</v>
      </c>
      <c r="D254" s="379" t="s">
        <v>3423</v>
      </c>
      <c r="E254" s="1168">
        <v>60000</v>
      </c>
      <c r="F254" s="1168">
        <v>60000</v>
      </c>
      <c r="G254" s="1168">
        <v>32070.5</v>
      </c>
      <c r="H254" s="1168">
        <v>27929.5</v>
      </c>
    </row>
    <row r="255" spans="1:8" ht="12.75">
      <c r="A255" s="1822" t="s">
        <v>1575</v>
      </c>
      <c r="B255" s="379" t="s">
        <v>1576</v>
      </c>
      <c r="C255" s="1823" t="s">
        <v>2649</v>
      </c>
      <c r="D255" s="379" t="s">
        <v>3423</v>
      </c>
      <c r="E255" s="1168">
        <v>105000</v>
      </c>
      <c r="F255" s="1168">
        <v>105000</v>
      </c>
      <c r="G255" s="1168">
        <v>104433</v>
      </c>
      <c r="H255" s="1168">
        <v>567</v>
      </c>
    </row>
    <row r="256" spans="1:8" ht="12.75">
      <c r="A256" s="1822" t="s">
        <v>1577</v>
      </c>
      <c r="B256" s="379" t="s">
        <v>1578</v>
      </c>
      <c r="C256" s="1823" t="s">
        <v>2653</v>
      </c>
      <c r="D256" s="379" t="s">
        <v>3422</v>
      </c>
      <c r="E256" s="1168">
        <v>0</v>
      </c>
      <c r="F256" s="1168">
        <v>100000</v>
      </c>
      <c r="G256" s="1168">
        <v>98651</v>
      </c>
      <c r="H256" s="1168">
        <v>1349</v>
      </c>
    </row>
    <row r="257" spans="1:8" ht="12.75">
      <c r="A257" s="1822" t="s">
        <v>1579</v>
      </c>
      <c r="B257" s="379" t="s">
        <v>1580</v>
      </c>
      <c r="C257" s="1823" t="s">
        <v>2652</v>
      </c>
      <c r="D257" s="379" t="s">
        <v>3422</v>
      </c>
      <c r="E257" s="1168">
        <v>0</v>
      </c>
      <c r="F257" s="1168">
        <v>120000</v>
      </c>
      <c r="G257" s="1168">
        <v>116739</v>
      </c>
      <c r="H257" s="1168">
        <v>3000</v>
      </c>
    </row>
    <row r="258" spans="1:8" s="174" customFormat="1" ht="12.75">
      <c r="A258" s="1824" t="s">
        <v>1581</v>
      </c>
      <c r="B258" s="1825"/>
      <c r="C258" s="1825"/>
      <c r="D258" s="1826"/>
      <c r="E258" s="1821">
        <v>3255000</v>
      </c>
      <c r="F258" s="1821">
        <v>4116000</v>
      </c>
      <c r="G258" s="1821">
        <v>3935940.29</v>
      </c>
      <c r="H258" s="1821">
        <v>175394.6</v>
      </c>
    </row>
    <row r="259" spans="1:8" ht="12.75">
      <c r="A259" s="1822" t="s">
        <v>1582</v>
      </c>
      <c r="B259" s="379" t="s">
        <v>1583</v>
      </c>
      <c r="C259" s="1823" t="s">
        <v>2699</v>
      </c>
      <c r="D259" s="379" t="s">
        <v>3422</v>
      </c>
      <c r="E259" s="1168">
        <v>11800000</v>
      </c>
      <c r="F259" s="1168">
        <v>12680000</v>
      </c>
      <c r="G259" s="1168">
        <v>12659658.27</v>
      </c>
      <c r="H259" s="1168">
        <v>20341.73</v>
      </c>
    </row>
    <row r="260" spans="1:8" ht="12.75">
      <c r="A260" s="1822" t="s">
        <v>1584</v>
      </c>
      <c r="B260" s="379" t="s">
        <v>1585</v>
      </c>
      <c r="C260" s="1823" t="s">
        <v>2651</v>
      </c>
      <c r="D260" s="379" t="s">
        <v>3422</v>
      </c>
      <c r="E260" s="1168">
        <v>0</v>
      </c>
      <c r="F260" s="1168">
        <v>1000000</v>
      </c>
      <c r="G260" s="1168">
        <v>995959.7</v>
      </c>
      <c r="H260" s="1168">
        <v>0</v>
      </c>
    </row>
    <row r="261" spans="1:8" ht="12.75">
      <c r="A261" s="1822" t="s">
        <v>1586</v>
      </c>
      <c r="B261" s="379" t="s">
        <v>1587</v>
      </c>
      <c r="C261" s="1823" t="s">
        <v>2653</v>
      </c>
      <c r="D261" s="379" t="s">
        <v>3422</v>
      </c>
      <c r="E261" s="1168">
        <v>0</v>
      </c>
      <c r="F261" s="1168">
        <v>12136000</v>
      </c>
      <c r="G261" s="1168">
        <v>12058140</v>
      </c>
      <c r="H261" s="1168">
        <v>77860</v>
      </c>
    </row>
    <row r="262" spans="1:8" ht="12.75">
      <c r="A262" s="1822">
        <v>2140320029</v>
      </c>
      <c r="B262" s="379" t="s">
        <v>1588</v>
      </c>
      <c r="C262" s="1823" t="s">
        <v>2648</v>
      </c>
      <c r="D262" s="379" t="s">
        <v>3422</v>
      </c>
      <c r="E262" s="1168">
        <v>2200000</v>
      </c>
      <c r="F262" s="1168">
        <v>0</v>
      </c>
      <c r="G262" s="1168">
        <v>0</v>
      </c>
      <c r="H262" s="1168">
        <v>0</v>
      </c>
    </row>
    <row r="263" spans="1:8" ht="12.75">
      <c r="A263" s="1822" t="s">
        <v>1589</v>
      </c>
      <c r="B263" s="379" t="s">
        <v>1590</v>
      </c>
      <c r="C263" s="1823" t="s">
        <v>2647</v>
      </c>
      <c r="D263" s="379" t="s">
        <v>3422</v>
      </c>
      <c r="E263" s="1168">
        <v>6735000</v>
      </c>
      <c r="F263" s="1168">
        <v>10067000</v>
      </c>
      <c r="G263" s="1168">
        <v>10007894.8</v>
      </c>
      <c r="H263" s="1168">
        <v>59105.2</v>
      </c>
    </row>
    <row r="264" spans="1:8" ht="12.75">
      <c r="A264" s="1822" t="s">
        <v>1591</v>
      </c>
      <c r="B264" s="379" t="s">
        <v>1592</v>
      </c>
      <c r="C264" s="1823" t="s">
        <v>2647</v>
      </c>
      <c r="D264" s="379" t="s">
        <v>3422</v>
      </c>
      <c r="E264" s="1168">
        <v>4150000</v>
      </c>
      <c r="F264" s="1168">
        <v>3629000</v>
      </c>
      <c r="G264" s="1168">
        <v>3624757.6</v>
      </c>
      <c r="H264" s="1168">
        <v>4242.4</v>
      </c>
    </row>
    <row r="265" spans="1:8" ht="12.75">
      <c r="A265" s="1822">
        <v>2140324003</v>
      </c>
      <c r="B265" s="379" t="s">
        <v>1593</v>
      </c>
      <c r="C265" s="1823" t="s">
        <v>2653</v>
      </c>
      <c r="D265" s="379" t="s">
        <v>3422</v>
      </c>
      <c r="E265" s="1168">
        <v>8000000</v>
      </c>
      <c r="F265" s="1168">
        <v>0</v>
      </c>
      <c r="G265" s="1168">
        <v>0</v>
      </c>
      <c r="H265" s="1168">
        <v>0</v>
      </c>
    </row>
    <row r="266" spans="1:8" ht="12.75">
      <c r="A266" s="1822">
        <v>2140324004</v>
      </c>
      <c r="B266" s="379" t="s">
        <v>1594</v>
      </c>
      <c r="C266" s="1823" t="s">
        <v>2653</v>
      </c>
      <c r="D266" s="379" t="s">
        <v>3422</v>
      </c>
      <c r="E266" s="1168">
        <v>10000000</v>
      </c>
      <c r="F266" s="1168">
        <v>0</v>
      </c>
      <c r="G266" s="1168">
        <v>0</v>
      </c>
      <c r="H266" s="1168">
        <v>0</v>
      </c>
    </row>
    <row r="267" spans="1:8" ht="12.75">
      <c r="A267" s="1822">
        <v>2140324005</v>
      </c>
      <c r="B267" s="379" t="s">
        <v>3902</v>
      </c>
      <c r="C267" s="1823" t="s">
        <v>2651</v>
      </c>
      <c r="D267" s="379" t="s">
        <v>3422</v>
      </c>
      <c r="E267" s="1168">
        <v>2500000</v>
      </c>
      <c r="F267" s="1168">
        <v>0</v>
      </c>
      <c r="G267" s="1168">
        <v>0</v>
      </c>
      <c r="H267" s="1168">
        <v>0</v>
      </c>
    </row>
    <row r="268" spans="1:8" ht="12.75">
      <c r="A268" s="1822" t="s">
        <v>3903</v>
      </c>
      <c r="B268" s="379" t="s">
        <v>3904</v>
      </c>
      <c r="C268" s="1823" t="s">
        <v>2651</v>
      </c>
      <c r="D268" s="379" t="s">
        <v>3422</v>
      </c>
      <c r="E268" s="1168">
        <v>450000</v>
      </c>
      <c r="F268" s="1168">
        <v>450000</v>
      </c>
      <c r="G268" s="1168">
        <v>449497.8</v>
      </c>
      <c r="H268" s="1168">
        <v>0</v>
      </c>
    </row>
    <row r="269" spans="1:8" ht="12.75">
      <c r="A269" s="1822">
        <v>2140324008</v>
      </c>
      <c r="B269" s="379" t="s">
        <v>3905</v>
      </c>
      <c r="C269" s="1823" t="s">
        <v>2652</v>
      </c>
      <c r="D269" s="379" t="s">
        <v>3422</v>
      </c>
      <c r="E269" s="1168">
        <v>1000000</v>
      </c>
      <c r="F269" s="1168">
        <v>0</v>
      </c>
      <c r="G269" s="1168">
        <v>0</v>
      </c>
      <c r="H269" s="1168">
        <v>0</v>
      </c>
    </row>
    <row r="270" spans="1:8" ht="12.75">
      <c r="A270" s="1822" t="s">
        <v>3906</v>
      </c>
      <c r="B270" s="379" t="s">
        <v>3907</v>
      </c>
      <c r="C270" s="1823" t="s">
        <v>2699</v>
      </c>
      <c r="D270" s="379" t="s">
        <v>3422</v>
      </c>
      <c r="E270" s="1168">
        <v>160000</v>
      </c>
      <c r="F270" s="1168">
        <v>165000</v>
      </c>
      <c r="G270" s="1168">
        <v>164220</v>
      </c>
      <c r="H270" s="1168">
        <v>780</v>
      </c>
    </row>
    <row r="271" spans="1:8" ht="12.75">
      <c r="A271" s="1822" t="s">
        <v>3908</v>
      </c>
      <c r="B271" s="379" t="s">
        <v>3909</v>
      </c>
      <c r="C271" s="1823" t="s">
        <v>2653</v>
      </c>
      <c r="D271" s="379" t="s">
        <v>3422</v>
      </c>
      <c r="E271" s="1168">
        <v>0</v>
      </c>
      <c r="F271" s="1168">
        <v>50000000</v>
      </c>
      <c r="G271" s="1168">
        <v>49400000</v>
      </c>
      <c r="H271" s="1168">
        <v>600000</v>
      </c>
    </row>
    <row r="272" spans="1:8" ht="12.75">
      <c r="A272" s="1822" t="s">
        <v>3910</v>
      </c>
      <c r="B272" s="379" t="s">
        <v>3911</v>
      </c>
      <c r="C272" s="1823" t="s">
        <v>2648</v>
      </c>
      <c r="D272" s="379" t="s">
        <v>3422</v>
      </c>
      <c r="E272" s="1168">
        <v>0</v>
      </c>
      <c r="F272" s="1168">
        <v>671000</v>
      </c>
      <c r="G272" s="1168">
        <v>643697.6</v>
      </c>
      <c r="H272" s="1168">
        <v>27302.4</v>
      </c>
    </row>
    <row r="273" spans="1:8" ht="12.75">
      <c r="A273" s="1822" t="s">
        <v>3912</v>
      </c>
      <c r="B273" s="379" t="s">
        <v>3913</v>
      </c>
      <c r="C273" s="1823" t="s">
        <v>2652</v>
      </c>
      <c r="D273" s="379" t="s">
        <v>3422</v>
      </c>
      <c r="E273" s="1168">
        <v>0</v>
      </c>
      <c r="F273" s="1168">
        <v>779000</v>
      </c>
      <c r="G273" s="1168">
        <v>770639.3</v>
      </c>
      <c r="H273" s="1168">
        <v>8000</v>
      </c>
    </row>
    <row r="274" spans="1:8" ht="12.75">
      <c r="A274" s="1822" t="s">
        <v>3914</v>
      </c>
      <c r="B274" s="379" t="s">
        <v>3915</v>
      </c>
      <c r="C274" s="1823" t="s">
        <v>2653</v>
      </c>
      <c r="D274" s="379" t="s">
        <v>3422</v>
      </c>
      <c r="E274" s="1168">
        <v>0</v>
      </c>
      <c r="F274" s="1168">
        <v>180000</v>
      </c>
      <c r="G274" s="1168">
        <v>179892</v>
      </c>
      <c r="H274" s="1168">
        <v>108</v>
      </c>
    </row>
    <row r="275" spans="1:8" ht="12.75">
      <c r="A275" s="1822" t="s">
        <v>3916</v>
      </c>
      <c r="B275" s="379" t="s">
        <v>3917</v>
      </c>
      <c r="C275" s="1823" t="s">
        <v>2650</v>
      </c>
      <c r="D275" s="379" t="s">
        <v>3422</v>
      </c>
      <c r="E275" s="1168">
        <v>0</v>
      </c>
      <c r="F275" s="1168">
        <v>290000</v>
      </c>
      <c r="G275" s="1168">
        <v>256459</v>
      </c>
      <c r="H275" s="1168">
        <v>33541</v>
      </c>
    </row>
    <row r="276" spans="1:8" ht="12.75">
      <c r="A276" s="1822" t="s">
        <v>3918</v>
      </c>
      <c r="B276" s="379" t="s">
        <v>3919</v>
      </c>
      <c r="C276" s="1823" t="s">
        <v>2652</v>
      </c>
      <c r="D276" s="379" t="s">
        <v>3422</v>
      </c>
      <c r="E276" s="1168">
        <v>0</v>
      </c>
      <c r="F276" s="1168">
        <v>170000</v>
      </c>
      <c r="G276" s="1168">
        <v>169050</v>
      </c>
      <c r="H276" s="1168">
        <v>0</v>
      </c>
    </row>
    <row r="277" spans="1:8" ht="12.75">
      <c r="A277" s="1822" t="s">
        <v>3920</v>
      </c>
      <c r="B277" s="379" t="s">
        <v>3921</v>
      </c>
      <c r="C277" s="1823" t="s">
        <v>2652</v>
      </c>
      <c r="D277" s="379" t="s">
        <v>3422</v>
      </c>
      <c r="E277" s="1168">
        <v>0</v>
      </c>
      <c r="F277" s="1168">
        <v>130000</v>
      </c>
      <c r="G277" s="1168">
        <v>89886</v>
      </c>
      <c r="H277" s="1168">
        <v>40000</v>
      </c>
    </row>
    <row r="278" spans="1:8" ht="12.75">
      <c r="A278" s="1822" t="s">
        <v>3922</v>
      </c>
      <c r="B278" s="379" t="s">
        <v>3923</v>
      </c>
      <c r="C278" s="1823" t="s">
        <v>2643</v>
      </c>
      <c r="D278" s="379" t="s">
        <v>3422</v>
      </c>
      <c r="E278" s="1168">
        <v>615000</v>
      </c>
      <c r="F278" s="1168">
        <v>0</v>
      </c>
      <c r="G278" s="1168">
        <v>0</v>
      </c>
      <c r="H278" s="1168">
        <v>0</v>
      </c>
    </row>
    <row r="279" spans="1:8" s="174" customFormat="1" ht="12.75">
      <c r="A279" s="1824" t="s">
        <v>3924</v>
      </c>
      <c r="B279" s="1825"/>
      <c r="C279" s="1825"/>
      <c r="D279" s="1826"/>
      <c r="E279" s="1821">
        <v>47610000</v>
      </c>
      <c r="F279" s="1821">
        <v>92347000</v>
      </c>
      <c r="G279" s="1821">
        <v>91469752.07</v>
      </c>
      <c r="H279" s="1821">
        <v>871280.73</v>
      </c>
    </row>
    <row r="280" spans="1:8" ht="12.75">
      <c r="A280" s="1822" t="s">
        <v>3925</v>
      </c>
      <c r="B280" s="379" t="s">
        <v>3926</v>
      </c>
      <c r="C280" s="1823" t="s">
        <v>2651</v>
      </c>
      <c r="D280" s="379" t="s">
        <v>3422</v>
      </c>
      <c r="E280" s="1168">
        <v>0</v>
      </c>
      <c r="F280" s="1168">
        <v>142000</v>
      </c>
      <c r="G280" s="1168">
        <v>141147.3</v>
      </c>
      <c r="H280" s="1168">
        <v>0</v>
      </c>
    </row>
    <row r="281" spans="1:8" ht="12.75">
      <c r="A281" s="1822" t="s">
        <v>3927</v>
      </c>
      <c r="B281" s="379" t="s">
        <v>3928</v>
      </c>
      <c r="C281" s="1823" t="s">
        <v>2647</v>
      </c>
      <c r="D281" s="379" t="s">
        <v>3422</v>
      </c>
      <c r="E281" s="1168">
        <v>850000</v>
      </c>
      <c r="F281" s="1168">
        <v>850000</v>
      </c>
      <c r="G281" s="1168">
        <v>845852</v>
      </c>
      <c r="H281" s="1168">
        <v>4148</v>
      </c>
    </row>
    <row r="282" spans="1:8" ht="12.75">
      <c r="A282" s="1822" t="s">
        <v>3929</v>
      </c>
      <c r="B282" s="379" t="s">
        <v>3930</v>
      </c>
      <c r="C282" s="1823" t="s">
        <v>2647</v>
      </c>
      <c r="D282" s="379" t="s">
        <v>3422</v>
      </c>
      <c r="E282" s="1168">
        <v>230000</v>
      </c>
      <c r="F282" s="1168">
        <v>230000</v>
      </c>
      <c r="G282" s="1168">
        <v>211677.2</v>
      </c>
      <c r="H282" s="1168">
        <v>18322.8</v>
      </c>
    </row>
    <row r="283" spans="1:8" ht="12.75">
      <c r="A283" s="1822">
        <v>2140334003</v>
      </c>
      <c r="B283" s="379" t="s">
        <v>3931</v>
      </c>
      <c r="C283" s="1823" t="s">
        <v>2647</v>
      </c>
      <c r="D283" s="379" t="s">
        <v>3422</v>
      </c>
      <c r="E283" s="1168">
        <v>860000</v>
      </c>
      <c r="F283" s="1168">
        <v>860000</v>
      </c>
      <c r="G283" s="1168">
        <v>849466.5</v>
      </c>
      <c r="H283" s="1168">
        <v>10533.5</v>
      </c>
    </row>
    <row r="284" spans="1:8" ht="12.75">
      <c r="A284" s="1822" t="s">
        <v>3932</v>
      </c>
      <c r="B284" s="379" t="s">
        <v>3933</v>
      </c>
      <c r="C284" s="1823" t="s">
        <v>2648</v>
      </c>
      <c r="D284" s="379" t="s">
        <v>3422</v>
      </c>
      <c r="E284" s="1168">
        <v>780000</v>
      </c>
      <c r="F284" s="1168">
        <v>731000</v>
      </c>
      <c r="G284" s="1168">
        <v>719012.2</v>
      </c>
      <c r="H284" s="1168">
        <v>11000</v>
      </c>
    </row>
    <row r="285" spans="1:8" ht="12.75">
      <c r="A285" s="1822" t="s">
        <v>3932</v>
      </c>
      <c r="B285" s="379" t="s">
        <v>3933</v>
      </c>
      <c r="C285" s="1823" t="s">
        <v>2648</v>
      </c>
      <c r="D285" s="379" t="s">
        <v>3423</v>
      </c>
      <c r="E285" s="1168">
        <v>0</v>
      </c>
      <c r="F285" s="1168">
        <v>49000</v>
      </c>
      <c r="G285" s="1168">
        <v>48196.1</v>
      </c>
      <c r="H285" s="1168">
        <v>0</v>
      </c>
    </row>
    <row r="286" spans="1:8" ht="12.75">
      <c r="A286" s="1822" t="s">
        <v>3934</v>
      </c>
      <c r="B286" s="379" t="s">
        <v>3935</v>
      </c>
      <c r="C286" s="1823" t="s">
        <v>2648</v>
      </c>
      <c r="D286" s="379" t="s">
        <v>3422</v>
      </c>
      <c r="E286" s="1168">
        <v>700000</v>
      </c>
      <c r="F286" s="1168">
        <v>700000</v>
      </c>
      <c r="G286" s="1168">
        <v>699900</v>
      </c>
      <c r="H286" s="1168">
        <v>0</v>
      </c>
    </row>
    <row r="287" spans="1:8" ht="12.75">
      <c r="A287" s="1822" t="s">
        <v>3936</v>
      </c>
      <c r="B287" s="379" t="s">
        <v>3937</v>
      </c>
      <c r="C287" s="1823" t="s">
        <v>2648</v>
      </c>
      <c r="D287" s="379" t="s">
        <v>3422</v>
      </c>
      <c r="E287" s="1168">
        <v>380000</v>
      </c>
      <c r="F287" s="1168">
        <v>351000</v>
      </c>
      <c r="G287" s="1168">
        <v>342958</v>
      </c>
      <c r="H287" s="1168">
        <v>8000</v>
      </c>
    </row>
    <row r="288" spans="1:8" ht="12.75">
      <c r="A288" s="1822" t="s">
        <v>3938</v>
      </c>
      <c r="B288" s="379" t="s">
        <v>3939</v>
      </c>
      <c r="C288" s="1823" t="s">
        <v>2648</v>
      </c>
      <c r="D288" s="379" t="s">
        <v>3422</v>
      </c>
      <c r="E288" s="1168">
        <v>50000</v>
      </c>
      <c r="F288" s="1168">
        <v>116000</v>
      </c>
      <c r="G288" s="1168">
        <v>115831</v>
      </c>
      <c r="H288" s="1168">
        <v>0</v>
      </c>
    </row>
    <row r="289" spans="1:8" ht="12.75">
      <c r="A289" s="1822" t="s">
        <v>3940</v>
      </c>
      <c r="B289" s="379" t="s">
        <v>1496</v>
      </c>
      <c r="C289" s="1823" t="s">
        <v>2650</v>
      </c>
      <c r="D289" s="379" t="s">
        <v>3422</v>
      </c>
      <c r="E289" s="1168">
        <v>180000</v>
      </c>
      <c r="F289" s="1168">
        <v>65000</v>
      </c>
      <c r="G289" s="1168">
        <v>64900</v>
      </c>
      <c r="H289" s="1168">
        <v>100</v>
      </c>
    </row>
    <row r="290" spans="1:8" ht="12.75">
      <c r="A290" s="1822">
        <v>2140334009</v>
      </c>
      <c r="B290" s="379" t="s">
        <v>3941</v>
      </c>
      <c r="C290" s="1823" t="s">
        <v>2650</v>
      </c>
      <c r="D290" s="379" t="s">
        <v>3422</v>
      </c>
      <c r="E290" s="1168">
        <v>460000</v>
      </c>
      <c r="F290" s="1168">
        <v>0</v>
      </c>
      <c r="G290" s="1168">
        <v>0</v>
      </c>
      <c r="H290" s="1168">
        <v>0</v>
      </c>
    </row>
    <row r="291" spans="1:8" ht="12.75">
      <c r="A291" s="1822" t="s">
        <v>3942</v>
      </c>
      <c r="B291" s="379" t="s">
        <v>3943</v>
      </c>
      <c r="C291" s="1823" t="s">
        <v>2650</v>
      </c>
      <c r="D291" s="379" t="s">
        <v>3422</v>
      </c>
      <c r="E291" s="1168">
        <v>700000</v>
      </c>
      <c r="F291" s="1168">
        <v>700000</v>
      </c>
      <c r="G291" s="1168">
        <v>699799</v>
      </c>
      <c r="H291" s="1168">
        <v>201</v>
      </c>
    </row>
    <row r="292" spans="1:8" ht="12.75">
      <c r="A292" s="1822" t="s">
        <v>3944</v>
      </c>
      <c r="B292" s="379" t="s">
        <v>3945</v>
      </c>
      <c r="C292" s="1823" t="s">
        <v>2650</v>
      </c>
      <c r="D292" s="379" t="s">
        <v>3422</v>
      </c>
      <c r="E292" s="1168">
        <v>500000</v>
      </c>
      <c r="F292" s="1168">
        <v>400000</v>
      </c>
      <c r="G292" s="1168">
        <v>399245</v>
      </c>
      <c r="H292" s="1168">
        <v>755</v>
      </c>
    </row>
    <row r="293" spans="1:8" ht="12.75">
      <c r="A293" s="1822">
        <v>2140334012</v>
      </c>
      <c r="B293" s="379" t="s">
        <v>3946</v>
      </c>
      <c r="C293" s="1823" t="s">
        <v>2650</v>
      </c>
      <c r="D293" s="379" t="s">
        <v>3422</v>
      </c>
      <c r="E293" s="1168">
        <v>635000</v>
      </c>
      <c r="F293" s="1168">
        <v>0</v>
      </c>
      <c r="G293" s="1168">
        <v>0</v>
      </c>
      <c r="H293" s="1168">
        <v>0</v>
      </c>
    </row>
    <row r="294" spans="1:8" ht="12.75">
      <c r="A294" s="1822" t="s">
        <v>3947</v>
      </c>
      <c r="B294" s="379" t="s">
        <v>3948</v>
      </c>
      <c r="C294" s="1823" t="s">
        <v>2651</v>
      </c>
      <c r="D294" s="379" t="s">
        <v>3422</v>
      </c>
      <c r="E294" s="1168">
        <v>460000</v>
      </c>
      <c r="F294" s="1168">
        <v>84000</v>
      </c>
      <c r="G294" s="1168">
        <v>83300</v>
      </c>
      <c r="H294" s="1168">
        <v>0</v>
      </c>
    </row>
    <row r="295" spans="1:8" ht="12.75">
      <c r="A295" s="1822">
        <v>2140334014</v>
      </c>
      <c r="B295" s="379" t="s">
        <v>1481</v>
      </c>
      <c r="C295" s="1823" t="s">
        <v>2649</v>
      </c>
      <c r="D295" s="379" t="s">
        <v>3422</v>
      </c>
      <c r="E295" s="1168">
        <v>350000</v>
      </c>
      <c r="F295" s="1168">
        <v>709000</v>
      </c>
      <c r="G295" s="1168">
        <v>708400</v>
      </c>
      <c r="H295" s="1168">
        <v>600</v>
      </c>
    </row>
    <row r="296" spans="1:8" ht="12.75">
      <c r="A296" s="1822" t="s">
        <v>3949</v>
      </c>
      <c r="B296" s="379" t="s">
        <v>3941</v>
      </c>
      <c r="C296" s="1823" t="s">
        <v>2649</v>
      </c>
      <c r="D296" s="379" t="s">
        <v>3422</v>
      </c>
      <c r="E296" s="1168">
        <v>460000</v>
      </c>
      <c r="F296" s="1168">
        <v>425000</v>
      </c>
      <c r="G296" s="1168">
        <v>424354</v>
      </c>
      <c r="H296" s="1168">
        <v>646</v>
      </c>
    </row>
    <row r="297" spans="1:8" ht="12.75">
      <c r="A297" s="1822" t="s">
        <v>3950</v>
      </c>
      <c r="B297" s="379" t="s">
        <v>3951</v>
      </c>
      <c r="C297" s="1823" t="s">
        <v>2649</v>
      </c>
      <c r="D297" s="379" t="s">
        <v>3422</v>
      </c>
      <c r="E297" s="1168">
        <v>770000</v>
      </c>
      <c r="F297" s="1168">
        <v>200000</v>
      </c>
      <c r="G297" s="1168">
        <v>199682</v>
      </c>
      <c r="H297" s="1168">
        <v>318</v>
      </c>
    </row>
    <row r="298" spans="1:8" ht="12.75">
      <c r="A298" s="1822">
        <v>2140334017</v>
      </c>
      <c r="B298" s="379" t="s">
        <v>3952</v>
      </c>
      <c r="C298" s="1823" t="s">
        <v>2649</v>
      </c>
      <c r="D298" s="379" t="s">
        <v>3422</v>
      </c>
      <c r="E298" s="1168">
        <v>320000</v>
      </c>
      <c r="F298" s="1168">
        <v>0</v>
      </c>
      <c r="G298" s="1168">
        <v>0</v>
      </c>
      <c r="H298" s="1168">
        <v>0</v>
      </c>
    </row>
    <row r="299" spans="1:8" ht="12.75">
      <c r="A299" s="1822" t="s">
        <v>3953</v>
      </c>
      <c r="B299" s="379" t="s">
        <v>3954</v>
      </c>
      <c r="C299" s="1823" t="s">
        <v>2652</v>
      </c>
      <c r="D299" s="379" t="s">
        <v>3422</v>
      </c>
      <c r="E299" s="1168">
        <v>850000</v>
      </c>
      <c r="F299" s="1168">
        <v>817000</v>
      </c>
      <c r="G299" s="1168">
        <v>780336.55</v>
      </c>
      <c r="H299" s="1168">
        <v>36000</v>
      </c>
    </row>
    <row r="300" spans="1:8" ht="12.75">
      <c r="A300" s="1822" t="s">
        <v>3955</v>
      </c>
      <c r="B300" s="379" t="s">
        <v>3956</v>
      </c>
      <c r="C300" s="1823" t="s">
        <v>2652</v>
      </c>
      <c r="D300" s="379" t="s">
        <v>3422</v>
      </c>
      <c r="E300" s="1168">
        <v>260000</v>
      </c>
      <c r="F300" s="1168">
        <v>191000</v>
      </c>
      <c r="G300" s="1168">
        <v>190162</v>
      </c>
      <c r="H300" s="1168">
        <v>0</v>
      </c>
    </row>
    <row r="301" spans="1:8" ht="12.75">
      <c r="A301" s="1822">
        <v>2140334020</v>
      </c>
      <c r="B301" s="379" t="s">
        <v>3957</v>
      </c>
      <c r="C301" s="1823" t="s">
        <v>2652</v>
      </c>
      <c r="D301" s="379" t="s">
        <v>3422</v>
      </c>
      <c r="E301" s="1168">
        <v>330000</v>
      </c>
      <c r="F301" s="1168">
        <v>0</v>
      </c>
      <c r="G301" s="1168">
        <v>0</v>
      </c>
      <c r="H301" s="1168">
        <v>0</v>
      </c>
    </row>
    <row r="302" spans="1:8" ht="12.75">
      <c r="A302" s="1822" t="s">
        <v>3958</v>
      </c>
      <c r="B302" s="379" t="s">
        <v>3959</v>
      </c>
      <c r="C302" s="1823" t="s">
        <v>2652</v>
      </c>
      <c r="D302" s="379" t="s">
        <v>3422</v>
      </c>
      <c r="E302" s="1168">
        <v>482000</v>
      </c>
      <c r="F302" s="1168">
        <v>551000</v>
      </c>
      <c r="G302" s="1168">
        <v>550252.4</v>
      </c>
      <c r="H302" s="1168">
        <v>0</v>
      </c>
    </row>
    <row r="303" spans="1:8" ht="12.75">
      <c r="A303" s="1822">
        <v>2140334022</v>
      </c>
      <c r="B303" s="379" t="s">
        <v>3960</v>
      </c>
      <c r="C303" s="1823" t="s">
        <v>2699</v>
      </c>
      <c r="D303" s="379" t="s">
        <v>3422</v>
      </c>
      <c r="E303" s="1168">
        <v>100000</v>
      </c>
      <c r="F303" s="1168">
        <v>0</v>
      </c>
      <c r="G303" s="1168">
        <v>0</v>
      </c>
      <c r="H303" s="1168">
        <v>0</v>
      </c>
    </row>
    <row r="304" spans="1:8" ht="12.75">
      <c r="A304" s="1822">
        <v>2140334023</v>
      </c>
      <c r="B304" s="379" t="s">
        <v>3961</v>
      </c>
      <c r="C304" s="1823" t="s">
        <v>2699</v>
      </c>
      <c r="D304" s="379" t="s">
        <v>3422</v>
      </c>
      <c r="E304" s="1168">
        <v>330000</v>
      </c>
      <c r="F304" s="1168">
        <v>0</v>
      </c>
      <c r="G304" s="1168">
        <v>0</v>
      </c>
      <c r="H304" s="1168">
        <v>0</v>
      </c>
    </row>
    <row r="305" spans="1:8" ht="12.75">
      <c r="A305" s="1822">
        <v>2140334024</v>
      </c>
      <c r="B305" s="379" t="s">
        <v>3962</v>
      </c>
      <c r="C305" s="1823" t="s">
        <v>2699</v>
      </c>
      <c r="D305" s="379" t="s">
        <v>3422</v>
      </c>
      <c r="E305" s="1168">
        <v>550000</v>
      </c>
      <c r="F305" s="1168">
        <v>0</v>
      </c>
      <c r="G305" s="1168">
        <v>0</v>
      </c>
      <c r="H305" s="1168">
        <v>0</v>
      </c>
    </row>
    <row r="306" spans="1:8" ht="12.75">
      <c r="A306" s="1822">
        <v>2140334025</v>
      </c>
      <c r="B306" s="379" t="s">
        <v>3963</v>
      </c>
      <c r="C306" s="1823" t="s">
        <v>2699</v>
      </c>
      <c r="D306" s="379" t="s">
        <v>3422</v>
      </c>
      <c r="E306" s="1168">
        <v>200000</v>
      </c>
      <c r="F306" s="1168">
        <v>0</v>
      </c>
      <c r="G306" s="1168">
        <v>0</v>
      </c>
      <c r="H306" s="1168">
        <v>0</v>
      </c>
    </row>
    <row r="307" spans="1:8" ht="12.75">
      <c r="A307" s="1822" t="s">
        <v>3964</v>
      </c>
      <c r="B307" s="379" t="s">
        <v>3965</v>
      </c>
      <c r="C307" s="1823" t="s">
        <v>2699</v>
      </c>
      <c r="D307" s="379" t="s">
        <v>3422</v>
      </c>
      <c r="E307" s="1168">
        <v>598000</v>
      </c>
      <c r="F307" s="1168">
        <v>522000</v>
      </c>
      <c r="G307" s="1168">
        <v>521670</v>
      </c>
      <c r="H307" s="1168">
        <v>330</v>
      </c>
    </row>
    <row r="308" spans="1:8" ht="12.75">
      <c r="A308" s="1822" t="s">
        <v>3966</v>
      </c>
      <c r="B308" s="379" t="s">
        <v>3967</v>
      </c>
      <c r="C308" s="1823" t="s">
        <v>2653</v>
      </c>
      <c r="D308" s="379" t="s">
        <v>3422</v>
      </c>
      <c r="E308" s="1168">
        <v>350000</v>
      </c>
      <c r="F308" s="1168">
        <v>346000</v>
      </c>
      <c r="G308" s="1168">
        <v>345500</v>
      </c>
      <c r="H308" s="1168">
        <v>500</v>
      </c>
    </row>
    <row r="309" spans="1:8" ht="12.75">
      <c r="A309" s="1822" t="s">
        <v>3968</v>
      </c>
      <c r="B309" s="379" t="s">
        <v>3969</v>
      </c>
      <c r="C309" s="1823" t="s">
        <v>2653</v>
      </c>
      <c r="D309" s="379" t="s">
        <v>3422</v>
      </c>
      <c r="E309" s="1168">
        <v>350000</v>
      </c>
      <c r="F309" s="1168">
        <v>346000</v>
      </c>
      <c r="G309" s="1168">
        <v>345500</v>
      </c>
      <c r="H309" s="1168">
        <v>500</v>
      </c>
    </row>
    <row r="310" spans="1:8" ht="12.75">
      <c r="A310" s="1822" t="s">
        <v>3970</v>
      </c>
      <c r="B310" s="379" t="s">
        <v>3971</v>
      </c>
      <c r="C310" s="1823" t="s">
        <v>2653</v>
      </c>
      <c r="D310" s="379" t="s">
        <v>3422</v>
      </c>
      <c r="E310" s="1168">
        <v>350000</v>
      </c>
      <c r="F310" s="1168">
        <v>346000</v>
      </c>
      <c r="G310" s="1168">
        <v>345500</v>
      </c>
      <c r="H310" s="1168">
        <v>500</v>
      </c>
    </row>
    <row r="311" spans="1:8" ht="12.75">
      <c r="A311" s="1822" t="s">
        <v>3972</v>
      </c>
      <c r="B311" s="379" t="s">
        <v>3973</v>
      </c>
      <c r="C311" s="1823" t="s">
        <v>2653</v>
      </c>
      <c r="D311" s="379" t="s">
        <v>3422</v>
      </c>
      <c r="E311" s="1168">
        <v>350000</v>
      </c>
      <c r="F311" s="1168">
        <v>346000</v>
      </c>
      <c r="G311" s="1168">
        <v>345500</v>
      </c>
      <c r="H311" s="1168">
        <v>500</v>
      </c>
    </row>
    <row r="312" spans="1:8" ht="12.75">
      <c r="A312" s="1822" t="s">
        <v>3974</v>
      </c>
      <c r="B312" s="379" t="s">
        <v>3975</v>
      </c>
      <c r="C312" s="1823" t="s">
        <v>2653</v>
      </c>
      <c r="D312" s="379" t="s">
        <v>3422</v>
      </c>
      <c r="E312" s="1168">
        <v>350000</v>
      </c>
      <c r="F312" s="1168">
        <v>346000</v>
      </c>
      <c r="G312" s="1168">
        <v>345500</v>
      </c>
      <c r="H312" s="1168">
        <v>500</v>
      </c>
    </row>
    <row r="313" spans="1:8" ht="12.75">
      <c r="A313" s="1822" t="s">
        <v>3976</v>
      </c>
      <c r="B313" s="379" t="s">
        <v>3977</v>
      </c>
      <c r="C313" s="1823" t="s">
        <v>2653</v>
      </c>
      <c r="D313" s="379" t="s">
        <v>3422</v>
      </c>
      <c r="E313" s="1168">
        <v>440000</v>
      </c>
      <c r="F313" s="1168">
        <v>375000</v>
      </c>
      <c r="G313" s="1168">
        <v>213962</v>
      </c>
      <c r="H313" s="1168">
        <v>161038</v>
      </c>
    </row>
    <row r="314" spans="1:8" ht="12.75">
      <c r="A314" s="1822" t="s">
        <v>3978</v>
      </c>
      <c r="B314" s="379" t="s">
        <v>3979</v>
      </c>
      <c r="C314" s="1823" t="s">
        <v>2653</v>
      </c>
      <c r="D314" s="379" t="s">
        <v>3422</v>
      </c>
      <c r="E314" s="1168">
        <v>160000</v>
      </c>
      <c r="F314" s="1168">
        <v>225000</v>
      </c>
      <c r="G314" s="1168">
        <v>221340</v>
      </c>
      <c r="H314" s="1168">
        <v>3660</v>
      </c>
    </row>
    <row r="315" spans="1:8" ht="12.75">
      <c r="A315" s="1822" t="s">
        <v>3980</v>
      </c>
      <c r="B315" s="379" t="s">
        <v>3981</v>
      </c>
      <c r="C315" s="1823" t="s">
        <v>2653</v>
      </c>
      <c r="D315" s="379" t="s">
        <v>3422</v>
      </c>
      <c r="E315" s="1168">
        <v>160000</v>
      </c>
      <c r="F315" s="1168">
        <v>135000</v>
      </c>
      <c r="G315" s="1168">
        <v>134470</v>
      </c>
      <c r="H315" s="1168">
        <v>530</v>
      </c>
    </row>
    <row r="316" spans="1:8" ht="12.75">
      <c r="A316" s="1822" t="s">
        <v>3982</v>
      </c>
      <c r="B316" s="379" t="s">
        <v>3983</v>
      </c>
      <c r="C316" s="1823" t="s">
        <v>2653</v>
      </c>
      <c r="D316" s="379" t="s">
        <v>3422</v>
      </c>
      <c r="E316" s="1168">
        <v>74000</v>
      </c>
      <c r="F316" s="1168">
        <v>54000</v>
      </c>
      <c r="G316" s="1168">
        <v>49517</v>
      </c>
      <c r="H316" s="1168">
        <v>4483</v>
      </c>
    </row>
    <row r="317" spans="1:8" ht="12.75">
      <c r="A317" s="1822">
        <v>2140334036</v>
      </c>
      <c r="B317" s="379" t="s">
        <v>1496</v>
      </c>
      <c r="C317" s="1823" t="s">
        <v>2653</v>
      </c>
      <c r="D317" s="379" t="s">
        <v>3422</v>
      </c>
      <c r="E317" s="1168">
        <v>180000</v>
      </c>
      <c r="F317" s="1168">
        <v>0</v>
      </c>
      <c r="G317" s="1168">
        <v>0</v>
      </c>
      <c r="H317" s="1168">
        <v>0</v>
      </c>
    </row>
    <row r="318" spans="1:8" ht="12.75">
      <c r="A318" s="1822" t="s">
        <v>3984</v>
      </c>
      <c r="B318" s="379" t="s">
        <v>3985</v>
      </c>
      <c r="C318" s="1823" t="s">
        <v>2653</v>
      </c>
      <c r="D318" s="379" t="s">
        <v>3422</v>
      </c>
      <c r="E318" s="1168">
        <v>180000</v>
      </c>
      <c r="F318" s="1168">
        <v>180000</v>
      </c>
      <c r="G318" s="1168">
        <v>176120</v>
      </c>
      <c r="H318" s="1168">
        <v>3880</v>
      </c>
    </row>
    <row r="319" spans="1:8" ht="12.75">
      <c r="A319" s="1822" t="s">
        <v>3986</v>
      </c>
      <c r="B319" s="379" t="s">
        <v>3987</v>
      </c>
      <c r="C319" s="1823" t="s">
        <v>2651</v>
      </c>
      <c r="D319" s="379" t="s">
        <v>3422</v>
      </c>
      <c r="E319" s="1168">
        <v>550000</v>
      </c>
      <c r="F319" s="1168">
        <v>102000</v>
      </c>
      <c r="G319" s="1168">
        <v>101864</v>
      </c>
      <c r="H319" s="1168">
        <v>0</v>
      </c>
    </row>
    <row r="320" spans="1:8" ht="12.75">
      <c r="A320" s="1822">
        <v>2140334039</v>
      </c>
      <c r="B320" s="379" t="s">
        <v>3988</v>
      </c>
      <c r="C320" s="1823" t="s">
        <v>2651</v>
      </c>
      <c r="D320" s="379" t="s">
        <v>3422</v>
      </c>
      <c r="E320" s="1168">
        <v>40000</v>
      </c>
      <c r="F320" s="1168">
        <v>0</v>
      </c>
      <c r="G320" s="1168">
        <v>0</v>
      </c>
      <c r="H320" s="1168">
        <v>0</v>
      </c>
    </row>
    <row r="321" spans="1:8" ht="12.75">
      <c r="A321" s="1822" t="s">
        <v>3989</v>
      </c>
      <c r="B321" s="379" t="s">
        <v>1496</v>
      </c>
      <c r="C321" s="1823" t="s">
        <v>2651</v>
      </c>
      <c r="D321" s="379" t="s">
        <v>3422</v>
      </c>
      <c r="E321" s="1168">
        <v>180000</v>
      </c>
      <c r="F321" s="1168">
        <v>147000</v>
      </c>
      <c r="G321" s="1168">
        <v>146311</v>
      </c>
      <c r="H321" s="1168">
        <v>0</v>
      </c>
    </row>
    <row r="322" spans="1:8" ht="12.75">
      <c r="A322" s="1822" t="s">
        <v>3990</v>
      </c>
      <c r="B322" s="379" t="s">
        <v>3991</v>
      </c>
      <c r="C322" s="1823" t="s">
        <v>2651</v>
      </c>
      <c r="D322" s="379" t="s">
        <v>3423</v>
      </c>
      <c r="E322" s="1168">
        <v>60000</v>
      </c>
      <c r="F322" s="1168">
        <v>43000</v>
      </c>
      <c r="G322" s="1168">
        <v>42990</v>
      </c>
      <c r="H322" s="1168">
        <v>0</v>
      </c>
    </row>
    <row r="323" spans="1:8" ht="12.75">
      <c r="A323" s="1822" t="s">
        <v>3992</v>
      </c>
      <c r="B323" s="379" t="s">
        <v>1481</v>
      </c>
      <c r="C323" s="1823" t="s">
        <v>2651</v>
      </c>
      <c r="D323" s="379" t="s">
        <v>3422</v>
      </c>
      <c r="E323" s="1168">
        <v>350000</v>
      </c>
      <c r="F323" s="1168">
        <v>344000</v>
      </c>
      <c r="G323" s="1168">
        <v>343100</v>
      </c>
      <c r="H323" s="1168">
        <v>0</v>
      </c>
    </row>
    <row r="324" spans="1:8" ht="12.75">
      <c r="A324" s="1822" t="s">
        <v>3993</v>
      </c>
      <c r="B324" s="379" t="s">
        <v>3994</v>
      </c>
      <c r="C324" s="1823" t="s">
        <v>2648</v>
      </c>
      <c r="D324" s="379" t="s">
        <v>3422</v>
      </c>
      <c r="E324" s="1168">
        <v>0</v>
      </c>
      <c r="F324" s="1168">
        <v>1873000</v>
      </c>
      <c r="G324" s="1168">
        <v>1872787</v>
      </c>
      <c r="H324" s="1168">
        <v>0</v>
      </c>
    </row>
    <row r="325" spans="1:8" ht="12.75">
      <c r="A325" s="1822" t="s">
        <v>3995</v>
      </c>
      <c r="B325" s="379" t="s">
        <v>3996</v>
      </c>
      <c r="C325" s="1823" t="s">
        <v>2649</v>
      </c>
      <c r="D325" s="379" t="s">
        <v>3423</v>
      </c>
      <c r="E325" s="1168">
        <v>0</v>
      </c>
      <c r="F325" s="1168">
        <v>400000</v>
      </c>
      <c r="G325" s="1168">
        <v>400000</v>
      </c>
      <c r="H325" s="1168">
        <v>0</v>
      </c>
    </row>
    <row r="326" spans="1:8" ht="12.75">
      <c r="A326" s="1822" t="s">
        <v>3997</v>
      </c>
      <c r="B326" s="379" t="s">
        <v>3998</v>
      </c>
      <c r="C326" s="1823" t="s">
        <v>2649</v>
      </c>
      <c r="D326" s="379" t="s">
        <v>3423</v>
      </c>
      <c r="E326" s="1168">
        <v>0</v>
      </c>
      <c r="F326" s="1168">
        <v>50000</v>
      </c>
      <c r="G326" s="1168">
        <v>49504</v>
      </c>
      <c r="H326" s="1168">
        <v>496</v>
      </c>
    </row>
    <row r="327" spans="1:8" ht="12.75">
      <c r="A327" s="1822" t="s">
        <v>3999</v>
      </c>
      <c r="B327" s="379" t="s">
        <v>4000</v>
      </c>
      <c r="C327" s="1823" t="s">
        <v>2649</v>
      </c>
      <c r="D327" s="379" t="s">
        <v>3422</v>
      </c>
      <c r="E327" s="1168">
        <v>0</v>
      </c>
      <c r="F327" s="1168">
        <v>48000</v>
      </c>
      <c r="G327" s="1168">
        <v>47814</v>
      </c>
      <c r="H327" s="1168">
        <v>186</v>
      </c>
    </row>
    <row r="328" spans="1:8" ht="12.75">
      <c r="A328" s="1822" t="s">
        <v>4001</v>
      </c>
      <c r="B328" s="379" t="s">
        <v>4002</v>
      </c>
      <c r="C328" s="1823" t="s">
        <v>2653</v>
      </c>
      <c r="D328" s="379" t="s">
        <v>3422</v>
      </c>
      <c r="E328" s="1168">
        <v>0</v>
      </c>
      <c r="F328" s="1168">
        <v>520000</v>
      </c>
      <c r="G328" s="1168">
        <v>520000</v>
      </c>
      <c r="H328" s="1168">
        <v>0</v>
      </c>
    </row>
    <row r="329" spans="1:8" ht="12.75">
      <c r="A329" s="1822" t="s">
        <v>4003</v>
      </c>
      <c r="B329" s="379" t="s">
        <v>4004</v>
      </c>
      <c r="C329" s="1823" t="s">
        <v>2652</v>
      </c>
      <c r="D329" s="379" t="s">
        <v>3422</v>
      </c>
      <c r="E329" s="1168">
        <v>0</v>
      </c>
      <c r="F329" s="1168">
        <v>268000</v>
      </c>
      <c r="G329" s="1168">
        <v>267750</v>
      </c>
      <c r="H329" s="1168">
        <v>0</v>
      </c>
    </row>
    <row r="330" spans="1:8" ht="12.75">
      <c r="A330" s="1822" t="s">
        <v>4005</v>
      </c>
      <c r="B330" s="379" t="s">
        <v>4006</v>
      </c>
      <c r="C330" s="1823" t="s">
        <v>2650</v>
      </c>
      <c r="D330" s="379" t="s">
        <v>3422</v>
      </c>
      <c r="E330" s="1168">
        <v>0</v>
      </c>
      <c r="F330" s="1168">
        <v>100000</v>
      </c>
      <c r="G330" s="1168">
        <v>98487</v>
      </c>
      <c r="H330" s="1168">
        <v>1513</v>
      </c>
    </row>
    <row r="331" spans="1:8" ht="12.75">
      <c r="A331" s="1822" t="s">
        <v>4007</v>
      </c>
      <c r="B331" s="379" t="s">
        <v>4008</v>
      </c>
      <c r="C331" s="1823" t="s">
        <v>2650</v>
      </c>
      <c r="D331" s="379" t="s">
        <v>3422</v>
      </c>
      <c r="E331" s="1168">
        <v>0</v>
      </c>
      <c r="F331" s="1168">
        <v>497000</v>
      </c>
      <c r="G331" s="1168">
        <v>495000</v>
      </c>
      <c r="H331" s="1168">
        <v>2000</v>
      </c>
    </row>
    <row r="332" spans="1:8" ht="12.75">
      <c r="A332" s="1822" t="s">
        <v>4009</v>
      </c>
      <c r="B332" s="379" t="s">
        <v>4010</v>
      </c>
      <c r="C332" s="1823" t="s">
        <v>2651</v>
      </c>
      <c r="D332" s="379" t="s">
        <v>3423</v>
      </c>
      <c r="E332" s="1168">
        <v>0</v>
      </c>
      <c r="F332" s="1168">
        <v>100000</v>
      </c>
      <c r="G332" s="1168">
        <v>99974.52</v>
      </c>
      <c r="H332" s="1168">
        <v>0</v>
      </c>
    </row>
    <row r="333" spans="1:8" ht="12.75">
      <c r="A333" s="1822" t="s">
        <v>4011</v>
      </c>
      <c r="B333" s="379" t="s">
        <v>4012</v>
      </c>
      <c r="C333" s="1823" t="s">
        <v>2649</v>
      </c>
      <c r="D333" s="379" t="s">
        <v>3422</v>
      </c>
      <c r="E333" s="1168">
        <v>0</v>
      </c>
      <c r="F333" s="1168">
        <v>68000</v>
      </c>
      <c r="G333" s="1168">
        <v>49197</v>
      </c>
      <c r="H333" s="1168">
        <v>18803</v>
      </c>
    </row>
    <row r="334" spans="1:8" ht="12.75">
      <c r="A334" s="1822" t="s">
        <v>4013</v>
      </c>
      <c r="B334" s="379" t="s">
        <v>4014</v>
      </c>
      <c r="C334" s="1823" t="s">
        <v>2699</v>
      </c>
      <c r="D334" s="379" t="s">
        <v>3422</v>
      </c>
      <c r="E334" s="1168">
        <v>0</v>
      </c>
      <c r="F334" s="1168">
        <v>423000</v>
      </c>
      <c r="G334" s="1168">
        <v>422450</v>
      </c>
      <c r="H334" s="1168">
        <v>550</v>
      </c>
    </row>
    <row r="335" spans="1:8" ht="12.75">
      <c r="A335" s="1822" t="s">
        <v>4015</v>
      </c>
      <c r="B335" s="379" t="s">
        <v>4016</v>
      </c>
      <c r="C335" s="1823" t="s">
        <v>2651</v>
      </c>
      <c r="D335" s="379" t="s">
        <v>3423</v>
      </c>
      <c r="E335" s="1168">
        <v>0</v>
      </c>
      <c r="F335" s="1168">
        <v>240000</v>
      </c>
      <c r="G335" s="1168">
        <v>239980</v>
      </c>
      <c r="H335" s="1168">
        <v>0</v>
      </c>
    </row>
    <row r="336" spans="1:8" ht="12.75">
      <c r="A336" s="1822" t="s">
        <v>4017</v>
      </c>
      <c r="B336" s="379" t="s">
        <v>4018</v>
      </c>
      <c r="C336" s="1823" t="s">
        <v>2653</v>
      </c>
      <c r="D336" s="379" t="s">
        <v>3422</v>
      </c>
      <c r="E336" s="1168">
        <v>0</v>
      </c>
      <c r="F336" s="1168">
        <v>65000</v>
      </c>
      <c r="G336" s="1168">
        <v>0</v>
      </c>
      <c r="H336" s="1168">
        <v>65000</v>
      </c>
    </row>
    <row r="337" spans="1:8" s="174" customFormat="1" ht="12.75">
      <c r="A337" s="1824" t="s">
        <v>4019</v>
      </c>
      <c r="B337" s="1825"/>
      <c r="C337" s="1825"/>
      <c r="D337" s="1826"/>
      <c r="E337" s="1821">
        <v>16509000</v>
      </c>
      <c r="F337" s="1821">
        <v>16680000</v>
      </c>
      <c r="G337" s="1821">
        <v>16316258.77</v>
      </c>
      <c r="H337" s="1821">
        <v>355593.3</v>
      </c>
    </row>
    <row r="338" spans="1:8" ht="12.75">
      <c r="A338" s="1822" t="s">
        <v>4020</v>
      </c>
      <c r="B338" s="379" t="s">
        <v>4021</v>
      </c>
      <c r="C338" s="1823" t="s">
        <v>2651</v>
      </c>
      <c r="D338" s="379" t="s">
        <v>3422</v>
      </c>
      <c r="E338" s="1168">
        <v>15900000</v>
      </c>
      <c r="F338" s="1168">
        <v>21043000</v>
      </c>
      <c r="G338" s="1168">
        <v>13788632.82</v>
      </c>
      <c r="H338" s="1168">
        <v>7254367.18</v>
      </c>
    </row>
    <row r="339" spans="1:8" s="174" customFormat="1" ht="12.75">
      <c r="A339" s="1824" t="s">
        <v>4022</v>
      </c>
      <c r="B339" s="1825"/>
      <c r="C339" s="1825"/>
      <c r="D339" s="1826"/>
      <c r="E339" s="1821">
        <v>15900000</v>
      </c>
      <c r="F339" s="1821">
        <v>21043000</v>
      </c>
      <c r="G339" s="1821">
        <v>13788632.82</v>
      </c>
      <c r="H339" s="1821">
        <v>7254367.18</v>
      </c>
    </row>
    <row r="340" spans="1:8" ht="12.75">
      <c r="A340" s="1822" t="s">
        <v>4023</v>
      </c>
      <c r="B340" s="379" t="s">
        <v>4024</v>
      </c>
      <c r="C340" s="1823" t="s">
        <v>2651</v>
      </c>
      <c r="D340" s="379" t="s">
        <v>3423</v>
      </c>
      <c r="E340" s="1168">
        <v>200000</v>
      </c>
      <c r="F340" s="1168">
        <v>104000</v>
      </c>
      <c r="G340" s="1168">
        <v>103774</v>
      </c>
      <c r="H340" s="1168">
        <v>0</v>
      </c>
    </row>
    <row r="341" spans="1:8" ht="12.75">
      <c r="A341" s="1822" t="s">
        <v>4025</v>
      </c>
      <c r="B341" s="379" t="s">
        <v>4026</v>
      </c>
      <c r="C341" s="1823" t="s">
        <v>2651</v>
      </c>
      <c r="D341" s="379" t="s">
        <v>3423</v>
      </c>
      <c r="E341" s="1168">
        <v>100000</v>
      </c>
      <c r="F341" s="1168">
        <v>60000</v>
      </c>
      <c r="G341" s="1168">
        <v>59500</v>
      </c>
      <c r="H341" s="1168">
        <v>0</v>
      </c>
    </row>
    <row r="342" spans="1:8" ht="12.75">
      <c r="A342" s="1822">
        <v>2140394003</v>
      </c>
      <c r="B342" s="379" t="s">
        <v>4027</v>
      </c>
      <c r="C342" s="1823" t="s">
        <v>2650</v>
      </c>
      <c r="D342" s="379" t="s">
        <v>3423</v>
      </c>
      <c r="E342" s="1168">
        <v>100000</v>
      </c>
      <c r="F342" s="1168">
        <v>0</v>
      </c>
      <c r="G342" s="1168">
        <v>0</v>
      </c>
      <c r="H342" s="1168">
        <v>0</v>
      </c>
    </row>
    <row r="343" spans="1:8" ht="12.75">
      <c r="A343" s="1822" t="s">
        <v>4028</v>
      </c>
      <c r="B343" s="379" t="s">
        <v>4029</v>
      </c>
      <c r="C343" s="1823" t="s">
        <v>2650</v>
      </c>
      <c r="D343" s="379" t="s">
        <v>3423</v>
      </c>
      <c r="E343" s="1168">
        <v>100000</v>
      </c>
      <c r="F343" s="1168">
        <v>42000</v>
      </c>
      <c r="G343" s="1168">
        <v>42000</v>
      </c>
      <c r="H343" s="1168">
        <v>0</v>
      </c>
    </row>
    <row r="344" spans="1:8" ht="12.75">
      <c r="A344" s="1822">
        <v>2140394005</v>
      </c>
      <c r="B344" s="379" t="s">
        <v>4030</v>
      </c>
      <c r="C344" s="1823" t="s">
        <v>2650</v>
      </c>
      <c r="D344" s="379" t="s">
        <v>3423</v>
      </c>
      <c r="E344" s="1168">
        <v>100000</v>
      </c>
      <c r="F344" s="1168">
        <v>0</v>
      </c>
      <c r="G344" s="1168">
        <v>0</v>
      </c>
      <c r="H344" s="1168">
        <v>0</v>
      </c>
    </row>
    <row r="345" spans="1:8" ht="12.75">
      <c r="A345" s="1822">
        <v>2140394006</v>
      </c>
      <c r="B345" s="379" t="s">
        <v>4031</v>
      </c>
      <c r="C345" s="1823" t="s">
        <v>2650</v>
      </c>
      <c r="D345" s="379" t="s">
        <v>3423</v>
      </c>
      <c r="E345" s="1168">
        <v>100000</v>
      </c>
      <c r="F345" s="1168">
        <v>0</v>
      </c>
      <c r="G345" s="1168">
        <v>0</v>
      </c>
      <c r="H345" s="1168">
        <v>0</v>
      </c>
    </row>
    <row r="346" spans="1:8" ht="12.75">
      <c r="A346" s="1822" t="s">
        <v>4032</v>
      </c>
      <c r="B346" s="379" t="s">
        <v>4033</v>
      </c>
      <c r="C346" s="1823" t="s">
        <v>2699</v>
      </c>
      <c r="D346" s="379" t="s">
        <v>3423</v>
      </c>
      <c r="E346" s="1168">
        <v>100000</v>
      </c>
      <c r="F346" s="1168">
        <v>59000</v>
      </c>
      <c r="G346" s="1168">
        <v>58013</v>
      </c>
      <c r="H346" s="1168">
        <v>987</v>
      </c>
    </row>
    <row r="347" spans="1:8" ht="12.75">
      <c r="A347" s="1822" t="s">
        <v>4034</v>
      </c>
      <c r="B347" s="379" t="s">
        <v>4035</v>
      </c>
      <c r="C347" s="1823" t="s">
        <v>2699</v>
      </c>
      <c r="D347" s="379" t="s">
        <v>3423</v>
      </c>
      <c r="E347" s="1168">
        <v>100000</v>
      </c>
      <c r="F347" s="1168">
        <v>64000</v>
      </c>
      <c r="G347" s="1168">
        <v>63367.5</v>
      </c>
      <c r="H347" s="1168">
        <v>632.5</v>
      </c>
    </row>
    <row r="348" spans="1:8" ht="12.75">
      <c r="A348" s="1822" t="s">
        <v>4036</v>
      </c>
      <c r="B348" s="379" t="s">
        <v>4037</v>
      </c>
      <c r="C348" s="1823" t="s">
        <v>2699</v>
      </c>
      <c r="D348" s="379" t="s">
        <v>3423</v>
      </c>
      <c r="E348" s="1168">
        <v>100000</v>
      </c>
      <c r="F348" s="1168">
        <v>71000</v>
      </c>
      <c r="G348" s="1168">
        <v>70507.5</v>
      </c>
      <c r="H348" s="1168">
        <v>492.5</v>
      </c>
    </row>
    <row r="349" spans="1:8" ht="12.75">
      <c r="A349" s="1822">
        <v>2140394010</v>
      </c>
      <c r="B349" s="379" t="s">
        <v>4038</v>
      </c>
      <c r="C349" s="1823" t="s">
        <v>2649</v>
      </c>
      <c r="D349" s="379" t="s">
        <v>3423</v>
      </c>
      <c r="E349" s="1168">
        <v>100000</v>
      </c>
      <c r="F349" s="1168">
        <v>0</v>
      </c>
      <c r="G349" s="1168">
        <v>0</v>
      </c>
      <c r="H349" s="1168">
        <v>0</v>
      </c>
    </row>
    <row r="350" spans="1:8" ht="12.75">
      <c r="A350" s="1822" t="s">
        <v>4039</v>
      </c>
      <c r="B350" s="379" t="s">
        <v>4040</v>
      </c>
      <c r="C350" s="1823" t="s">
        <v>2649</v>
      </c>
      <c r="D350" s="379" t="s">
        <v>3423</v>
      </c>
      <c r="E350" s="1168">
        <v>100000</v>
      </c>
      <c r="F350" s="1168">
        <v>100000</v>
      </c>
      <c r="G350" s="1168">
        <v>54026</v>
      </c>
      <c r="H350" s="1168">
        <v>45974</v>
      </c>
    </row>
    <row r="351" spans="1:8" ht="12.75">
      <c r="A351" s="1822" t="s">
        <v>4041</v>
      </c>
      <c r="B351" s="379" t="s">
        <v>4042</v>
      </c>
      <c r="C351" s="1823" t="s">
        <v>2649</v>
      </c>
      <c r="D351" s="379" t="s">
        <v>3423</v>
      </c>
      <c r="E351" s="1168">
        <v>100000</v>
      </c>
      <c r="F351" s="1168">
        <v>100000</v>
      </c>
      <c r="G351" s="1168">
        <v>46000</v>
      </c>
      <c r="H351" s="1168">
        <v>54000</v>
      </c>
    </row>
    <row r="352" spans="1:8" ht="12.75">
      <c r="A352" s="1822" t="s">
        <v>4043</v>
      </c>
      <c r="B352" s="379" t="s">
        <v>4044</v>
      </c>
      <c r="C352" s="1823" t="s">
        <v>2652</v>
      </c>
      <c r="D352" s="379" t="s">
        <v>3423</v>
      </c>
      <c r="E352" s="1168">
        <v>200000</v>
      </c>
      <c r="F352" s="1168">
        <v>30000</v>
      </c>
      <c r="G352" s="1168">
        <v>30000</v>
      </c>
      <c r="H352" s="1168">
        <v>0</v>
      </c>
    </row>
    <row r="353" spans="1:8" ht="12.75">
      <c r="A353" s="1822" t="s">
        <v>4045</v>
      </c>
      <c r="B353" s="379" t="s">
        <v>4046</v>
      </c>
      <c r="C353" s="1823" t="s">
        <v>2648</v>
      </c>
      <c r="D353" s="379" t="s">
        <v>3423</v>
      </c>
      <c r="E353" s="1168">
        <v>100000</v>
      </c>
      <c r="F353" s="1168">
        <v>100000</v>
      </c>
      <c r="G353" s="1168">
        <v>60690</v>
      </c>
      <c r="H353" s="1168">
        <v>39000</v>
      </c>
    </row>
    <row r="354" spans="1:8" ht="12.75">
      <c r="A354" s="1822" t="s">
        <v>4047</v>
      </c>
      <c r="B354" s="379" t="s">
        <v>4048</v>
      </c>
      <c r="C354" s="1823" t="s">
        <v>2648</v>
      </c>
      <c r="D354" s="379" t="s">
        <v>3423</v>
      </c>
      <c r="E354" s="1168">
        <v>100000</v>
      </c>
      <c r="F354" s="1168">
        <v>100000</v>
      </c>
      <c r="G354" s="1168">
        <v>65450</v>
      </c>
      <c r="H354" s="1168">
        <v>34000</v>
      </c>
    </row>
    <row r="355" spans="1:8" ht="12.75">
      <c r="A355" s="1822" t="s">
        <v>4049</v>
      </c>
      <c r="B355" s="379" t="s">
        <v>4050</v>
      </c>
      <c r="C355" s="1823" t="s">
        <v>2648</v>
      </c>
      <c r="D355" s="379" t="s">
        <v>3423</v>
      </c>
      <c r="E355" s="1168">
        <v>100000</v>
      </c>
      <c r="F355" s="1168">
        <v>100000</v>
      </c>
      <c r="G355" s="1168">
        <v>60690</v>
      </c>
      <c r="H355" s="1168">
        <v>39000</v>
      </c>
    </row>
    <row r="356" spans="1:8" ht="12.75">
      <c r="A356" s="1822" t="s">
        <v>4051</v>
      </c>
      <c r="B356" s="379" t="s">
        <v>4052</v>
      </c>
      <c r="C356" s="1823" t="s">
        <v>2653</v>
      </c>
      <c r="D356" s="379" t="s">
        <v>3423</v>
      </c>
      <c r="E356" s="1168">
        <v>100000</v>
      </c>
      <c r="F356" s="1168">
        <v>42000</v>
      </c>
      <c r="G356" s="1168">
        <v>42000</v>
      </c>
      <c r="H356" s="1168">
        <v>0</v>
      </c>
    </row>
    <row r="357" spans="1:8" ht="12.75">
      <c r="A357" s="1822" t="s">
        <v>4053</v>
      </c>
      <c r="B357" s="379" t="s">
        <v>4054</v>
      </c>
      <c r="C357" s="1823" t="s">
        <v>2653</v>
      </c>
      <c r="D357" s="379" t="s">
        <v>3423</v>
      </c>
      <c r="E357" s="1168">
        <v>100000</v>
      </c>
      <c r="F357" s="1168">
        <v>35000</v>
      </c>
      <c r="G357" s="1168">
        <v>35000</v>
      </c>
      <c r="H357" s="1168">
        <v>0</v>
      </c>
    </row>
    <row r="358" spans="1:8" ht="12.75">
      <c r="A358" s="1822" t="s">
        <v>4055</v>
      </c>
      <c r="B358" s="379" t="s">
        <v>4056</v>
      </c>
      <c r="C358" s="1823" t="s">
        <v>2653</v>
      </c>
      <c r="D358" s="379" t="s">
        <v>3423</v>
      </c>
      <c r="E358" s="1168">
        <v>100000</v>
      </c>
      <c r="F358" s="1168">
        <v>32000</v>
      </c>
      <c r="G358" s="1168">
        <v>32000</v>
      </c>
      <c r="H358" s="1168">
        <v>0</v>
      </c>
    </row>
    <row r="359" spans="1:8" ht="12.75">
      <c r="A359" s="1822" t="s">
        <v>4057</v>
      </c>
      <c r="B359" s="379" t="s">
        <v>4058</v>
      </c>
      <c r="C359" s="1823" t="s">
        <v>2653</v>
      </c>
      <c r="D359" s="379" t="s">
        <v>3423</v>
      </c>
      <c r="E359" s="1168">
        <v>100000</v>
      </c>
      <c r="F359" s="1168">
        <v>46000</v>
      </c>
      <c r="G359" s="1168">
        <v>46000</v>
      </c>
      <c r="H359" s="1168">
        <v>0</v>
      </c>
    </row>
    <row r="360" spans="1:8" ht="12.75">
      <c r="A360" s="1822" t="s">
        <v>4059</v>
      </c>
      <c r="B360" s="379" t="s">
        <v>4060</v>
      </c>
      <c r="C360" s="1823" t="s">
        <v>2653</v>
      </c>
      <c r="D360" s="379" t="s">
        <v>3423</v>
      </c>
      <c r="E360" s="1168">
        <v>100000</v>
      </c>
      <c r="F360" s="1168">
        <v>42000</v>
      </c>
      <c r="G360" s="1168">
        <v>42000</v>
      </c>
      <c r="H360" s="1168">
        <v>0</v>
      </c>
    </row>
    <row r="361" spans="1:8" ht="12.75">
      <c r="A361" s="1822" t="s">
        <v>4061</v>
      </c>
      <c r="B361" s="379" t="s">
        <v>4062</v>
      </c>
      <c r="C361" s="1823" t="s">
        <v>2649</v>
      </c>
      <c r="D361" s="379" t="s">
        <v>3423</v>
      </c>
      <c r="E361" s="1168">
        <v>0</v>
      </c>
      <c r="F361" s="1168">
        <v>100000</v>
      </c>
      <c r="G361" s="1168">
        <v>78079</v>
      </c>
      <c r="H361" s="1168">
        <v>21921</v>
      </c>
    </row>
    <row r="362" spans="1:8" ht="12.75">
      <c r="A362" s="1822" t="s">
        <v>4063</v>
      </c>
      <c r="B362" s="379" t="s">
        <v>4064</v>
      </c>
      <c r="C362" s="1823" t="s">
        <v>2652</v>
      </c>
      <c r="D362" s="379" t="s">
        <v>3423</v>
      </c>
      <c r="E362" s="1168">
        <v>0</v>
      </c>
      <c r="F362" s="1168">
        <v>40000</v>
      </c>
      <c r="G362" s="1168">
        <v>40000</v>
      </c>
      <c r="H362" s="1168">
        <v>0</v>
      </c>
    </row>
    <row r="363" spans="1:8" ht="12.75">
      <c r="A363" s="1822" t="s">
        <v>4065</v>
      </c>
      <c r="B363" s="379" t="s">
        <v>4066</v>
      </c>
      <c r="C363" s="1823" t="s">
        <v>2699</v>
      </c>
      <c r="D363" s="379" t="s">
        <v>3423</v>
      </c>
      <c r="E363" s="1168">
        <v>0</v>
      </c>
      <c r="F363" s="1168">
        <v>106000</v>
      </c>
      <c r="G363" s="1168">
        <v>99960</v>
      </c>
      <c r="H363" s="1168">
        <v>6040</v>
      </c>
    </row>
    <row r="364" spans="1:8" ht="12.75">
      <c r="A364" s="1822" t="s">
        <v>4067</v>
      </c>
      <c r="B364" s="379" t="s">
        <v>4068</v>
      </c>
      <c r="C364" s="1823" t="s">
        <v>2651</v>
      </c>
      <c r="D364" s="379" t="s">
        <v>3423</v>
      </c>
      <c r="E364" s="1168">
        <v>0</v>
      </c>
      <c r="F364" s="1168">
        <v>79000</v>
      </c>
      <c r="G364" s="1168">
        <v>78183</v>
      </c>
      <c r="H364" s="1168">
        <v>0</v>
      </c>
    </row>
    <row r="365" spans="1:8" ht="12.75">
      <c r="A365" s="1822">
        <v>2140394026</v>
      </c>
      <c r="B365" s="379" t="s">
        <v>4069</v>
      </c>
      <c r="C365" s="1823" t="s">
        <v>2650</v>
      </c>
      <c r="D365" s="379" t="s">
        <v>3422</v>
      </c>
      <c r="E365" s="1168">
        <v>0</v>
      </c>
      <c r="F365" s="1168">
        <v>431000</v>
      </c>
      <c r="G365" s="1168">
        <v>430482.6</v>
      </c>
      <c r="H365" s="1168">
        <v>517</v>
      </c>
    </row>
    <row r="366" spans="1:8" ht="12.75">
      <c r="A366" s="1822" t="s">
        <v>4070</v>
      </c>
      <c r="B366" s="379" t="s">
        <v>4071</v>
      </c>
      <c r="C366" s="1823" t="s">
        <v>2651</v>
      </c>
      <c r="D366" s="379" t="s">
        <v>3422</v>
      </c>
      <c r="E366" s="1168">
        <v>0</v>
      </c>
      <c r="F366" s="1168">
        <v>57000</v>
      </c>
      <c r="G366" s="1168">
        <v>47821</v>
      </c>
      <c r="H366" s="1168">
        <v>0</v>
      </c>
    </row>
    <row r="367" spans="1:8" s="174" customFormat="1" ht="12.75">
      <c r="A367" s="1824" t="s">
        <v>4072</v>
      </c>
      <c r="B367" s="1825"/>
      <c r="C367" s="1825"/>
      <c r="D367" s="1826"/>
      <c r="E367" s="1821">
        <v>2300000</v>
      </c>
      <c r="F367" s="1821">
        <v>1940000</v>
      </c>
      <c r="G367" s="1821">
        <v>1685543.6</v>
      </c>
      <c r="H367" s="1821">
        <v>242564</v>
      </c>
    </row>
    <row r="368" spans="1:8" s="174" customFormat="1" ht="12.75">
      <c r="A368" s="1824" t="s">
        <v>4073</v>
      </c>
      <c r="B368" s="1825"/>
      <c r="C368" s="1825"/>
      <c r="D368" s="1826"/>
      <c r="E368" s="1821">
        <f>SUM(E258,E279,E337,E339,E367)</f>
        <v>85574000</v>
      </c>
      <c r="F368" s="1821">
        <f>SUM(F258,F279,F337,F339,F367)</f>
        <v>136126000</v>
      </c>
      <c r="G368" s="1821">
        <f>SUM(G258,G279,G337,G339,G367)</f>
        <v>127196127.54999998</v>
      </c>
      <c r="H368" s="1821">
        <f>SUM(H258,H279,H337,H339,H367)</f>
        <v>8899199.809999999</v>
      </c>
    </row>
    <row r="369" spans="1:8" ht="12.75">
      <c r="A369" s="1822" t="s">
        <v>4074</v>
      </c>
      <c r="B369" s="379" t="s">
        <v>4075</v>
      </c>
      <c r="C369" s="1823" t="s">
        <v>3492</v>
      </c>
      <c r="D369" s="379" t="s">
        <v>3422</v>
      </c>
      <c r="E369" s="1168">
        <v>500000</v>
      </c>
      <c r="F369" s="1168">
        <v>500000</v>
      </c>
      <c r="G369" s="1168">
        <v>0</v>
      </c>
      <c r="H369" s="1168">
        <v>500000</v>
      </c>
    </row>
    <row r="370" spans="1:8" ht="12.75">
      <c r="A370" s="1822" t="s">
        <v>4076</v>
      </c>
      <c r="B370" s="379" t="s">
        <v>4077</v>
      </c>
      <c r="C370" s="1823" t="s">
        <v>3492</v>
      </c>
      <c r="D370" s="379" t="s">
        <v>3422</v>
      </c>
      <c r="E370" s="1168">
        <v>80000</v>
      </c>
      <c r="F370" s="1168">
        <v>173000</v>
      </c>
      <c r="G370" s="1168">
        <v>172905</v>
      </c>
      <c r="H370" s="1168">
        <v>95</v>
      </c>
    </row>
    <row r="371" spans="1:8" s="174" customFormat="1" ht="12.75">
      <c r="A371" s="1824" t="s">
        <v>4078</v>
      </c>
      <c r="B371" s="1825"/>
      <c r="C371" s="1825"/>
      <c r="D371" s="1826"/>
      <c r="E371" s="1821">
        <v>580000</v>
      </c>
      <c r="F371" s="1821">
        <v>673000</v>
      </c>
      <c r="G371" s="1821">
        <v>172905</v>
      </c>
      <c r="H371" s="1821">
        <v>500095</v>
      </c>
    </row>
    <row r="372" spans="1:8" ht="12.75">
      <c r="A372" s="1822" t="s">
        <v>4079</v>
      </c>
      <c r="B372" s="379" t="s">
        <v>4080</v>
      </c>
      <c r="C372" s="1823" t="s">
        <v>3492</v>
      </c>
      <c r="D372" s="379" t="s">
        <v>3422</v>
      </c>
      <c r="E372" s="1168">
        <v>6855000</v>
      </c>
      <c r="F372" s="1168">
        <v>117000</v>
      </c>
      <c r="G372" s="1168">
        <v>82110</v>
      </c>
      <c r="H372" s="1168">
        <v>34890</v>
      </c>
    </row>
    <row r="373" spans="1:8" ht="12.75">
      <c r="A373" s="1822" t="s">
        <v>4081</v>
      </c>
      <c r="B373" s="379" t="s">
        <v>1469</v>
      </c>
      <c r="C373" s="1823" t="s">
        <v>3492</v>
      </c>
      <c r="D373" s="379" t="s">
        <v>3422</v>
      </c>
      <c r="E373" s="1168">
        <v>6200000</v>
      </c>
      <c r="F373" s="1168">
        <v>6047000</v>
      </c>
      <c r="G373" s="1168">
        <v>6046849</v>
      </c>
      <c r="H373" s="1168">
        <v>151</v>
      </c>
    </row>
    <row r="374" spans="1:8" ht="12.75">
      <c r="A374" s="1822" t="s">
        <v>4082</v>
      </c>
      <c r="B374" s="379" t="s">
        <v>4083</v>
      </c>
      <c r="C374" s="1823" t="s">
        <v>3492</v>
      </c>
      <c r="D374" s="379" t="s">
        <v>3422</v>
      </c>
      <c r="E374" s="1168">
        <v>920000</v>
      </c>
      <c r="F374" s="1168">
        <v>3670000</v>
      </c>
      <c r="G374" s="1168">
        <v>0</v>
      </c>
      <c r="H374" s="1168">
        <v>3670000</v>
      </c>
    </row>
    <row r="375" spans="1:8" ht="12.75">
      <c r="A375" s="1822" t="s">
        <v>4084</v>
      </c>
      <c r="B375" s="379" t="s">
        <v>4085</v>
      </c>
      <c r="C375" s="1823" t="s">
        <v>3492</v>
      </c>
      <c r="D375" s="379" t="s">
        <v>3422</v>
      </c>
      <c r="E375" s="1168">
        <v>200000</v>
      </c>
      <c r="F375" s="1168">
        <v>171000</v>
      </c>
      <c r="G375" s="1168">
        <v>169394</v>
      </c>
      <c r="H375" s="1168">
        <v>1606</v>
      </c>
    </row>
    <row r="376" spans="1:8" ht="12.75">
      <c r="A376" s="1822" t="s">
        <v>4086</v>
      </c>
      <c r="B376" s="379" t="s">
        <v>4087</v>
      </c>
      <c r="C376" s="1823" t="s">
        <v>3492</v>
      </c>
      <c r="D376" s="379" t="s">
        <v>3422</v>
      </c>
      <c r="E376" s="1168">
        <v>450000</v>
      </c>
      <c r="F376" s="1168">
        <v>853000</v>
      </c>
      <c r="G376" s="1168">
        <v>851785.6</v>
      </c>
      <c r="H376" s="1168">
        <v>1214.4</v>
      </c>
    </row>
    <row r="377" spans="1:8" ht="12.75">
      <c r="A377" s="1822" t="s">
        <v>4088</v>
      </c>
      <c r="B377" s="379" t="s">
        <v>4089</v>
      </c>
      <c r="C377" s="1823" t="s">
        <v>3492</v>
      </c>
      <c r="D377" s="379" t="s">
        <v>3422</v>
      </c>
      <c r="E377" s="1168">
        <v>800000</v>
      </c>
      <c r="F377" s="1168">
        <v>1117000</v>
      </c>
      <c r="G377" s="1168">
        <v>1116493.85</v>
      </c>
      <c r="H377" s="1168">
        <v>506.15</v>
      </c>
    </row>
    <row r="378" spans="1:8" ht="12.75">
      <c r="A378" s="1822" t="s">
        <v>4090</v>
      </c>
      <c r="B378" s="379" t="s">
        <v>4091</v>
      </c>
      <c r="C378" s="1823" t="s">
        <v>3492</v>
      </c>
      <c r="D378" s="379" t="s">
        <v>3422</v>
      </c>
      <c r="E378" s="1168">
        <v>1500000</v>
      </c>
      <c r="F378" s="1168">
        <v>1448000</v>
      </c>
      <c r="G378" s="1168">
        <v>1446881</v>
      </c>
      <c r="H378" s="1168">
        <v>1119</v>
      </c>
    </row>
    <row r="379" spans="1:8" ht="12.75">
      <c r="A379" s="1822" t="s">
        <v>4092</v>
      </c>
      <c r="B379" s="379" t="s">
        <v>4093</v>
      </c>
      <c r="C379" s="1823" t="s">
        <v>3492</v>
      </c>
      <c r="D379" s="379" t="s">
        <v>3422</v>
      </c>
      <c r="E379" s="1168">
        <v>100000</v>
      </c>
      <c r="F379" s="1168">
        <v>51000</v>
      </c>
      <c r="G379" s="1168">
        <v>50278</v>
      </c>
      <c r="H379" s="1168">
        <v>722</v>
      </c>
    </row>
    <row r="380" spans="1:8" ht="12.75">
      <c r="A380" s="1822" t="s">
        <v>4094</v>
      </c>
      <c r="B380" s="379" t="s">
        <v>4095</v>
      </c>
      <c r="C380" s="1823" t="s">
        <v>3492</v>
      </c>
      <c r="D380" s="379" t="s">
        <v>3422</v>
      </c>
      <c r="E380" s="1168">
        <v>1500000</v>
      </c>
      <c r="F380" s="1168">
        <v>3452000</v>
      </c>
      <c r="G380" s="1168">
        <v>111265</v>
      </c>
      <c r="H380" s="1168">
        <v>3340735</v>
      </c>
    </row>
    <row r="381" spans="1:8" ht="12.75">
      <c r="A381" s="1822" t="s">
        <v>4096</v>
      </c>
      <c r="B381" s="379" t="s">
        <v>4097</v>
      </c>
      <c r="C381" s="1823" t="s">
        <v>3492</v>
      </c>
      <c r="D381" s="379" t="s">
        <v>3422</v>
      </c>
      <c r="E381" s="1168">
        <v>7214000</v>
      </c>
      <c r="F381" s="1168">
        <v>1060000</v>
      </c>
      <c r="G381" s="1168">
        <v>1034552.5</v>
      </c>
      <c r="H381" s="1168">
        <v>25447.5</v>
      </c>
    </row>
    <row r="382" spans="1:8" ht="12.75">
      <c r="A382" s="1822" t="s">
        <v>4098</v>
      </c>
      <c r="B382" s="379" t="s">
        <v>4099</v>
      </c>
      <c r="C382" s="1823" t="s">
        <v>3492</v>
      </c>
      <c r="D382" s="379" t="s">
        <v>3422</v>
      </c>
      <c r="E382" s="1168">
        <v>1500000</v>
      </c>
      <c r="F382" s="1168">
        <v>643000</v>
      </c>
      <c r="G382" s="1168">
        <v>641396</v>
      </c>
      <c r="H382" s="1168">
        <v>1604</v>
      </c>
    </row>
    <row r="383" spans="1:8" ht="12.75">
      <c r="A383" s="1822" t="s">
        <v>4100</v>
      </c>
      <c r="B383" s="379" t="s">
        <v>4101</v>
      </c>
      <c r="C383" s="1823" t="s">
        <v>3492</v>
      </c>
      <c r="D383" s="379" t="s">
        <v>3422</v>
      </c>
      <c r="E383" s="1168">
        <v>2000000</v>
      </c>
      <c r="F383" s="1168">
        <v>2380000</v>
      </c>
      <c r="G383" s="1168">
        <v>0</v>
      </c>
      <c r="H383" s="1168">
        <v>2380000</v>
      </c>
    </row>
    <row r="384" spans="1:8" ht="12.75">
      <c r="A384" s="1822" t="s">
        <v>4102</v>
      </c>
      <c r="B384" s="379" t="s">
        <v>4103</v>
      </c>
      <c r="C384" s="1823" t="s">
        <v>3492</v>
      </c>
      <c r="D384" s="379" t="s">
        <v>3422</v>
      </c>
      <c r="E384" s="1168">
        <v>0</v>
      </c>
      <c r="F384" s="1168">
        <v>60000</v>
      </c>
      <c r="G384" s="1168">
        <v>0</v>
      </c>
      <c r="H384" s="1168">
        <v>60000</v>
      </c>
    </row>
    <row r="385" spans="1:8" ht="12.75">
      <c r="A385" s="1822" t="s">
        <v>4104</v>
      </c>
      <c r="B385" s="379" t="s">
        <v>4105</v>
      </c>
      <c r="C385" s="1823" t="s">
        <v>3492</v>
      </c>
      <c r="D385" s="379" t="s">
        <v>3422</v>
      </c>
      <c r="E385" s="1168">
        <v>0</v>
      </c>
      <c r="F385" s="1168">
        <v>897000</v>
      </c>
      <c r="G385" s="1168">
        <v>806691</v>
      </c>
      <c r="H385" s="1168">
        <v>90309</v>
      </c>
    </row>
    <row r="386" spans="1:8" ht="12.75">
      <c r="A386" s="1822" t="s">
        <v>4106</v>
      </c>
      <c r="B386" s="379" t="s">
        <v>4107</v>
      </c>
      <c r="C386" s="1823" t="s">
        <v>3492</v>
      </c>
      <c r="D386" s="379" t="s">
        <v>3422</v>
      </c>
      <c r="E386" s="1168">
        <v>0</v>
      </c>
      <c r="F386" s="1168">
        <v>54000</v>
      </c>
      <c r="G386" s="1168">
        <v>53062.1</v>
      </c>
      <c r="H386" s="1168">
        <v>937.9</v>
      </c>
    </row>
    <row r="387" spans="1:8" ht="12.75">
      <c r="A387" s="1822" t="s">
        <v>4108</v>
      </c>
      <c r="B387" s="379" t="s">
        <v>4109</v>
      </c>
      <c r="C387" s="1823" t="s">
        <v>3492</v>
      </c>
      <c r="D387" s="379" t="s">
        <v>3422</v>
      </c>
      <c r="E387" s="1168">
        <v>0</v>
      </c>
      <c r="F387" s="1168">
        <v>700000</v>
      </c>
      <c r="G387" s="1168">
        <v>0</v>
      </c>
      <c r="H387" s="1168">
        <v>700000</v>
      </c>
    </row>
    <row r="388" spans="1:8" ht="12.75">
      <c r="A388" s="1822" t="s">
        <v>4110</v>
      </c>
      <c r="B388" s="379" t="s">
        <v>4111</v>
      </c>
      <c r="C388" s="1823" t="s">
        <v>4112</v>
      </c>
      <c r="D388" s="379" t="s">
        <v>3422</v>
      </c>
      <c r="E388" s="1168">
        <v>0</v>
      </c>
      <c r="F388" s="1168">
        <v>6533000</v>
      </c>
      <c r="G388" s="1168">
        <v>0</v>
      </c>
      <c r="H388" s="1168">
        <v>6533000</v>
      </c>
    </row>
    <row r="389" spans="1:8" ht="12.75">
      <c r="A389" s="1822" t="s">
        <v>4113</v>
      </c>
      <c r="B389" s="379" t="s">
        <v>4114</v>
      </c>
      <c r="C389" s="1823" t="s">
        <v>3492</v>
      </c>
      <c r="D389" s="379" t="s">
        <v>3422</v>
      </c>
      <c r="E389" s="1168">
        <v>0</v>
      </c>
      <c r="F389" s="1168">
        <v>16800000</v>
      </c>
      <c r="G389" s="1168">
        <v>0</v>
      </c>
      <c r="H389" s="1168">
        <v>16800000</v>
      </c>
    </row>
    <row r="390" spans="1:8" s="174" customFormat="1" ht="12.75">
      <c r="A390" s="1824" t="s">
        <v>4115</v>
      </c>
      <c r="B390" s="1825"/>
      <c r="C390" s="1825"/>
      <c r="D390" s="1826"/>
      <c r="E390" s="1821">
        <v>29239000</v>
      </c>
      <c r="F390" s="1821">
        <v>46053000</v>
      </c>
      <c r="G390" s="1821">
        <v>12410758.05</v>
      </c>
      <c r="H390" s="1821">
        <v>33642241.95</v>
      </c>
    </row>
    <row r="391" spans="1:8" ht="12.75">
      <c r="A391" s="1822" t="s">
        <v>4116</v>
      </c>
      <c r="B391" s="379" t="s">
        <v>4117</v>
      </c>
      <c r="C391" s="1823" t="s">
        <v>3499</v>
      </c>
      <c r="D391" s="379" t="s">
        <v>3422</v>
      </c>
      <c r="E391" s="1168">
        <v>7000000</v>
      </c>
      <c r="F391" s="1168">
        <v>7000000</v>
      </c>
      <c r="G391" s="1168">
        <v>7000000</v>
      </c>
      <c r="H391" s="1168">
        <v>0</v>
      </c>
    </row>
    <row r="392" spans="1:8" s="174" customFormat="1" ht="12.75">
      <c r="A392" s="1824" t="s">
        <v>4118</v>
      </c>
      <c r="B392" s="1825"/>
      <c r="C392" s="1825"/>
      <c r="D392" s="1826"/>
      <c r="E392" s="1821">
        <v>7000000</v>
      </c>
      <c r="F392" s="1821">
        <v>7000000</v>
      </c>
      <c r="G392" s="1821">
        <v>7000000</v>
      </c>
      <c r="H392" s="1821">
        <v>0</v>
      </c>
    </row>
    <row r="393" spans="1:8" ht="12.75">
      <c r="A393" s="1822">
        <v>2140444001</v>
      </c>
      <c r="B393" s="379" t="s">
        <v>4119</v>
      </c>
      <c r="C393" s="1823" t="s">
        <v>3503</v>
      </c>
      <c r="D393" s="379" t="s">
        <v>3422</v>
      </c>
      <c r="E393" s="1168">
        <v>2500000</v>
      </c>
      <c r="F393" s="1168">
        <v>0</v>
      </c>
      <c r="G393" s="1168">
        <v>0</v>
      </c>
      <c r="H393" s="1168">
        <v>0</v>
      </c>
    </row>
    <row r="394" spans="1:8" ht="12.75">
      <c r="A394" s="1822">
        <v>2140444002</v>
      </c>
      <c r="B394" s="379" t="s">
        <v>4120</v>
      </c>
      <c r="C394" s="1823" t="s">
        <v>3503</v>
      </c>
      <c r="D394" s="379" t="s">
        <v>3422</v>
      </c>
      <c r="E394" s="1168">
        <v>2500000</v>
      </c>
      <c r="F394" s="1168">
        <v>0</v>
      </c>
      <c r="G394" s="1168">
        <v>0</v>
      </c>
      <c r="H394" s="1168">
        <v>0</v>
      </c>
    </row>
    <row r="395" spans="1:8" ht="12.75">
      <c r="A395" s="1822">
        <v>2140444003</v>
      </c>
      <c r="B395" s="379" t="s">
        <v>4121</v>
      </c>
      <c r="C395" s="1823" t="s">
        <v>3503</v>
      </c>
      <c r="D395" s="379" t="s">
        <v>3422</v>
      </c>
      <c r="E395" s="1168">
        <v>1958000</v>
      </c>
      <c r="F395" s="1168">
        <v>0</v>
      </c>
      <c r="G395" s="1168">
        <v>0</v>
      </c>
      <c r="H395" s="1168">
        <v>0</v>
      </c>
    </row>
    <row r="396" spans="1:8" ht="12.75">
      <c r="A396" s="1822">
        <v>2140444004</v>
      </c>
      <c r="B396" s="379" t="s">
        <v>4122</v>
      </c>
      <c r="C396" s="1823" t="s">
        <v>3503</v>
      </c>
      <c r="D396" s="379" t="s">
        <v>3422</v>
      </c>
      <c r="E396" s="1168">
        <v>12000000</v>
      </c>
      <c r="F396" s="1168">
        <v>0</v>
      </c>
      <c r="G396" s="1168">
        <v>0</v>
      </c>
      <c r="H396" s="1168">
        <v>0</v>
      </c>
    </row>
    <row r="397" spans="1:8" ht="12.75">
      <c r="A397" s="1822" t="s">
        <v>4123</v>
      </c>
      <c r="B397" s="379" t="s">
        <v>4124</v>
      </c>
      <c r="C397" s="1823" t="s">
        <v>3503</v>
      </c>
      <c r="D397" s="379" t="s">
        <v>3422</v>
      </c>
      <c r="E397" s="1168">
        <v>0</v>
      </c>
      <c r="F397" s="1168">
        <v>9958000</v>
      </c>
      <c r="G397" s="1168">
        <v>9958000</v>
      </c>
      <c r="H397" s="1168">
        <v>0</v>
      </c>
    </row>
    <row r="398" spans="1:8" ht="12.75">
      <c r="A398" s="1822" t="s">
        <v>4125</v>
      </c>
      <c r="B398" s="379" t="s">
        <v>4126</v>
      </c>
      <c r="C398" s="1823" t="s">
        <v>3503</v>
      </c>
      <c r="D398" s="379" t="s">
        <v>3422</v>
      </c>
      <c r="E398" s="1168">
        <v>0</v>
      </c>
      <c r="F398" s="1168">
        <v>15300000</v>
      </c>
      <c r="G398" s="1168">
        <v>15300000</v>
      </c>
      <c r="H398" s="1168">
        <v>0</v>
      </c>
    </row>
    <row r="399" spans="1:8" s="174" customFormat="1" ht="12.75">
      <c r="A399" s="1824" t="s">
        <v>4127</v>
      </c>
      <c r="B399" s="1825"/>
      <c r="C399" s="1825"/>
      <c r="D399" s="1826"/>
      <c r="E399" s="1821">
        <v>18958000</v>
      </c>
      <c r="F399" s="1821">
        <v>25258000</v>
      </c>
      <c r="G399" s="1821">
        <v>25258000</v>
      </c>
      <c r="H399" s="1821">
        <v>0</v>
      </c>
    </row>
    <row r="400" spans="1:8" ht="12.75">
      <c r="A400" s="1822" t="s">
        <v>4128</v>
      </c>
      <c r="B400" s="379" t="s">
        <v>4129</v>
      </c>
      <c r="C400" s="1823" t="s">
        <v>3495</v>
      </c>
      <c r="D400" s="379" t="s">
        <v>3422</v>
      </c>
      <c r="E400" s="1168">
        <v>7000000</v>
      </c>
      <c r="F400" s="1168">
        <v>7000000</v>
      </c>
      <c r="G400" s="1168">
        <v>0</v>
      </c>
      <c r="H400" s="1168">
        <v>7000000</v>
      </c>
    </row>
    <row r="401" spans="1:8" s="174" customFormat="1" ht="12.75">
      <c r="A401" s="1824" t="s">
        <v>4130</v>
      </c>
      <c r="B401" s="1825"/>
      <c r="C401" s="1825"/>
      <c r="D401" s="1826"/>
      <c r="E401" s="1821">
        <v>7000000</v>
      </c>
      <c r="F401" s="1821">
        <v>7000000</v>
      </c>
      <c r="G401" s="1821">
        <v>0</v>
      </c>
      <c r="H401" s="1821">
        <v>7000000</v>
      </c>
    </row>
    <row r="402" spans="1:8" ht="12.75">
      <c r="A402" s="1822">
        <v>2140494001</v>
      </c>
      <c r="B402" s="379" t="s">
        <v>4131</v>
      </c>
      <c r="C402" s="1823" t="s">
        <v>3492</v>
      </c>
      <c r="D402" s="379" t="s">
        <v>3422</v>
      </c>
      <c r="E402" s="1168">
        <v>390000</v>
      </c>
      <c r="F402" s="1168">
        <v>0</v>
      </c>
      <c r="G402" s="1168">
        <v>0</v>
      </c>
      <c r="H402" s="1168">
        <v>0</v>
      </c>
    </row>
    <row r="403" spans="1:8" ht="12.75">
      <c r="A403" s="1822">
        <v>2140494002</v>
      </c>
      <c r="B403" s="379" t="s">
        <v>4132</v>
      </c>
      <c r="C403" s="1823" t="s">
        <v>3492</v>
      </c>
      <c r="D403" s="379" t="s">
        <v>3422</v>
      </c>
      <c r="E403" s="1168">
        <v>400000</v>
      </c>
      <c r="F403" s="1168">
        <v>0</v>
      </c>
      <c r="G403" s="1168">
        <v>0</v>
      </c>
      <c r="H403" s="1168">
        <v>0</v>
      </c>
    </row>
    <row r="404" spans="1:8" ht="12.75">
      <c r="A404" s="1822">
        <v>2140494003</v>
      </c>
      <c r="B404" s="379" t="s">
        <v>4133</v>
      </c>
      <c r="C404" s="1823" t="s">
        <v>3492</v>
      </c>
      <c r="D404" s="379" t="s">
        <v>3422</v>
      </c>
      <c r="E404" s="1168">
        <v>55000</v>
      </c>
      <c r="F404" s="1168">
        <v>0</v>
      </c>
      <c r="G404" s="1168">
        <v>0</v>
      </c>
      <c r="H404" s="1168">
        <v>0</v>
      </c>
    </row>
    <row r="405" spans="1:8" ht="12.75">
      <c r="A405" s="1822">
        <v>2140494004</v>
      </c>
      <c r="B405" s="379" t="s">
        <v>4134</v>
      </c>
      <c r="C405" s="1823" t="s">
        <v>3492</v>
      </c>
      <c r="D405" s="379" t="s">
        <v>3422</v>
      </c>
      <c r="E405" s="1168">
        <v>336000</v>
      </c>
      <c r="F405" s="1168">
        <v>0</v>
      </c>
      <c r="G405" s="1168">
        <v>0</v>
      </c>
      <c r="H405" s="1168">
        <v>0</v>
      </c>
    </row>
    <row r="406" spans="1:8" ht="12.75">
      <c r="A406" s="1822">
        <v>2140494005</v>
      </c>
      <c r="B406" s="379" t="s">
        <v>4135</v>
      </c>
      <c r="C406" s="1823" t="s">
        <v>3492</v>
      </c>
      <c r="D406" s="379" t="s">
        <v>3422</v>
      </c>
      <c r="E406" s="1168">
        <v>355000</v>
      </c>
      <c r="F406" s="1168">
        <v>0</v>
      </c>
      <c r="G406" s="1168">
        <v>0</v>
      </c>
      <c r="H406" s="1168">
        <v>0</v>
      </c>
    </row>
    <row r="407" spans="1:8" ht="12.75">
      <c r="A407" s="1822">
        <v>2140494006</v>
      </c>
      <c r="B407" s="379" t="s">
        <v>4136</v>
      </c>
      <c r="C407" s="1823" t="s">
        <v>3492</v>
      </c>
      <c r="D407" s="379" t="s">
        <v>3422</v>
      </c>
      <c r="E407" s="1168">
        <v>400000</v>
      </c>
      <c r="F407" s="1168">
        <v>0</v>
      </c>
      <c r="G407" s="1168">
        <v>0</v>
      </c>
      <c r="H407" s="1168">
        <v>0</v>
      </c>
    </row>
    <row r="408" spans="1:8" ht="12.75">
      <c r="A408" s="1822" t="s">
        <v>4137</v>
      </c>
      <c r="B408" s="379" t="s">
        <v>4138</v>
      </c>
      <c r="C408" s="1823" t="s">
        <v>3499</v>
      </c>
      <c r="D408" s="379" t="s">
        <v>3422</v>
      </c>
      <c r="E408" s="1168">
        <v>353000</v>
      </c>
      <c r="F408" s="1168">
        <v>1203000</v>
      </c>
      <c r="G408" s="1168">
        <v>1203000</v>
      </c>
      <c r="H408" s="1168">
        <v>0</v>
      </c>
    </row>
    <row r="409" spans="1:8" ht="12.75">
      <c r="A409" s="1822" t="s">
        <v>4137</v>
      </c>
      <c r="B409" s="379" t="s">
        <v>4138</v>
      </c>
      <c r="C409" s="1823" t="s">
        <v>3499</v>
      </c>
      <c r="D409" s="379" t="s">
        <v>3423</v>
      </c>
      <c r="E409" s="1168">
        <v>350000</v>
      </c>
      <c r="F409" s="1168">
        <v>0</v>
      </c>
      <c r="G409" s="1168">
        <v>0</v>
      </c>
      <c r="H409" s="1168">
        <v>0</v>
      </c>
    </row>
    <row r="410" spans="1:8" ht="12.75">
      <c r="A410" s="1822">
        <v>2140494008</v>
      </c>
      <c r="B410" s="379" t="s">
        <v>4139</v>
      </c>
      <c r="C410" s="1823" t="s">
        <v>3503</v>
      </c>
      <c r="D410" s="379" t="s">
        <v>3422</v>
      </c>
      <c r="E410" s="1168">
        <v>300000</v>
      </c>
      <c r="F410" s="1168">
        <v>0</v>
      </c>
      <c r="G410" s="1168">
        <v>0</v>
      </c>
      <c r="H410" s="1168">
        <v>0</v>
      </c>
    </row>
    <row r="411" spans="1:8" ht="12.75">
      <c r="A411" s="1822" t="s">
        <v>4140</v>
      </c>
      <c r="B411" s="379" t="s">
        <v>4139</v>
      </c>
      <c r="C411" s="1823" t="s">
        <v>3495</v>
      </c>
      <c r="D411" s="379" t="s">
        <v>3422</v>
      </c>
      <c r="E411" s="1168">
        <v>1000000</v>
      </c>
      <c r="F411" s="1168">
        <v>0</v>
      </c>
      <c r="G411" s="1168">
        <v>0</v>
      </c>
      <c r="H411" s="1168">
        <v>0</v>
      </c>
    </row>
    <row r="412" spans="1:8" ht="12.75">
      <c r="A412" s="1822">
        <v>2140494010</v>
      </c>
      <c r="B412" s="379" t="s">
        <v>4139</v>
      </c>
      <c r="C412" s="1823" t="s">
        <v>3501</v>
      </c>
      <c r="D412" s="379" t="s">
        <v>3422</v>
      </c>
      <c r="E412" s="1168">
        <v>500000</v>
      </c>
      <c r="F412" s="1168">
        <v>0</v>
      </c>
      <c r="G412" s="1168">
        <v>0</v>
      </c>
      <c r="H412" s="1168">
        <v>0</v>
      </c>
    </row>
    <row r="413" spans="1:8" ht="12.75">
      <c r="A413" s="1822" t="s">
        <v>4141</v>
      </c>
      <c r="B413" s="379" t="s">
        <v>4142</v>
      </c>
      <c r="C413" s="1823" t="s">
        <v>3492</v>
      </c>
      <c r="D413" s="379" t="s">
        <v>3422</v>
      </c>
      <c r="E413" s="1168">
        <v>0</v>
      </c>
      <c r="F413" s="1168">
        <v>1829000</v>
      </c>
      <c r="G413" s="1168">
        <v>1828710</v>
      </c>
      <c r="H413" s="1168">
        <v>290</v>
      </c>
    </row>
    <row r="414" spans="1:8" ht="12.75">
      <c r="A414" s="1822" t="s">
        <v>4143</v>
      </c>
      <c r="B414" s="379" t="s">
        <v>1874</v>
      </c>
      <c r="C414" s="1823" t="s">
        <v>3495</v>
      </c>
      <c r="D414" s="379" t="s">
        <v>3422</v>
      </c>
      <c r="E414" s="1168">
        <v>0</v>
      </c>
      <c r="F414" s="1168">
        <v>500000</v>
      </c>
      <c r="G414" s="1168">
        <v>0</v>
      </c>
      <c r="H414" s="1168">
        <v>500000</v>
      </c>
    </row>
    <row r="415" spans="1:8" ht="12.75">
      <c r="A415" s="1822" t="s">
        <v>1875</v>
      </c>
      <c r="B415" s="379" t="s">
        <v>1876</v>
      </c>
      <c r="C415" s="1823" t="s">
        <v>3495</v>
      </c>
      <c r="D415" s="379" t="s">
        <v>3422</v>
      </c>
      <c r="E415" s="1168">
        <v>0</v>
      </c>
      <c r="F415" s="1168">
        <v>500000</v>
      </c>
      <c r="G415" s="1168">
        <v>0</v>
      </c>
      <c r="H415" s="1168">
        <v>500000</v>
      </c>
    </row>
    <row r="416" spans="1:8" s="174" customFormat="1" ht="12.75">
      <c r="A416" s="1824" t="s">
        <v>1877</v>
      </c>
      <c r="B416" s="1825"/>
      <c r="C416" s="1825"/>
      <c r="D416" s="1826"/>
      <c r="E416" s="1821">
        <v>4439000</v>
      </c>
      <c r="F416" s="1821">
        <v>4032000</v>
      </c>
      <c r="G416" s="1821">
        <v>3031710</v>
      </c>
      <c r="H416" s="1821">
        <v>1000290</v>
      </c>
    </row>
    <row r="417" spans="1:8" s="174" customFormat="1" ht="12.75">
      <c r="A417" s="1824" t="s">
        <v>1878</v>
      </c>
      <c r="B417" s="1825"/>
      <c r="C417" s="1825"/>
      <c r="D417" s="1826"/>
      <c r="E417" s="1821">
        <f>SUM(E371,E390,E392,E399,E401,E416)</f>
        <v>67216000</v>
      </c>
      <c r="F417" s="1821">
        <f>SUM(F371,F390,F392,F399,F401,F416)</f>
        <v>90016000</v>
      </c>
      <c r="G417" s="1821">
        <f>SUM(G371,G390,G392,G399,G401,G416)</f>
        <v>47873373.05</v>
      </c>
      <c r="H417" s="1821">
        <f>SUM(H371,H390,H392,H399,H401,H416)</f>
        <v>42142626.95</v>
      </c>
    </row>
    <row r="418" spans="1:8" ht="12.75">
      <c r="A418" s="1822" t="s">
        <v>1879</v>
      </c>
      <c r="B418" s="379" t="s">
        <v>1880</v>
      </c>
      <c r="C418" s="1823" t="s">
        <v>1881</v>
      </c>
      <c r="D418" s="379" t="s">
        <v>3422</v>
      </c>
      <c r="E418" s="1168">
        <v>0</v>
      </c>
      <c r="F418" s="1168">
        <v>1110000</v>
      </c>
      <c r="G418" s="1168">
        <v>1105000</v>
      </c>
      <c r="H418" s="1168">
        <v>5000</v>
      </c>
    </row>
    <row r="419" spans="1:8" ht="12.75">
      <c r="A419" s="1822" t="s">
        <v>1882</v>
      </c>
      <c r="B419" s="379" t="s">
        <v>1883</v>
      </c>
      <c r="C419" s="1823" t="s">
        <v>1884</v>
      </c>
      <c r="D419" s="379" t="s">
        <v>3422</v>
      </c>
      <c r="E419" s="1168">
        <v>0</v>
      </c>
      <c r="F419" s="1168">
        <v>250000</v>
      </c>
      <c r="G419" s="1168">
        <v>250000</v>
      </c>
      <c r="H419" s="1168">
        <v>0</v>
      </c>
    </row>
    <row r="420" spans="1:8" ht="12.75">
      <c r="A420" s="1822" t="s">
        <v>1885</v>
      </c>
      <c r="B420" s="379" t="s">
        <v>1886</v>
      </c>
      <c r="C420" s="1823" t="s">
        <v>1887</v>
      </c>
      <c r="D420" s="379" t="s">
        <v>3422</v>
      </c>
      <c r="E420" s="1168">
        <v>0</v>
      </c>
      <c r="F420" s="1168">
        <v>140000</v>
      </c>
      <c r="G420" s="1168">
        <v>140000</v>
      </c>
      <c r="H420" s="1168">
        <v>0</v>
      </c>
    </row>
    <row r="421" spans="1:8" s="174" customFormat="1" ht="12.75">
      <c r="A421" s="1824" t="s">
        <v>1888</v>
      </c>
      <c r="B421" s="1825"/>
      <c r="C421" s="1825"/>
      <c r="D421" s="1826"/>
      <c r="E421" s="1821">
        <v>0</v>
      </c>
      <c r="F421" s="1821">
        <v>1500000</v>
      </c>
      <c r="G421" s="1821">
        <v>1495000</v>
      </c>
      <c r="H421" s="1821">
        <v>5000</v>
      </c>
    </row>
    <row r="422" spans="1:8" ht="12.75">
      <c r="A422" s="1822" t="s">
        <v>1889</v>
      </c>
      <c r="B422" s="379" t="s">
        <v>1890</v>
      </c>
      <c r="C422" s="1823" t="s">
        <v>1891</v>
      </c>
      <c r="D422" s="379" t="s">
        <v>3422</v>
      </c>
      <c r="E422" s="1168">
        <v>0</v>
      </c>
      <c r="F422" s="1168">
        <v>1800000</v>
      </c>
      <c r="G422" s="1168">
        <v>1800000</v>
      </c>
      <c r="H422" s="1168">
        <v>0</v>
      </c>
    </row>
    <row r="423" spans="1:8" ht="12.75">
      <c r="A423" s="1822" t="s">
        <v>1892</v>
      </c>
      <c r="B423" s="379" t="s">
        <v>1893</v>
      </c>
      <c r="C423" s="1823" t="s">
        <v>1894</v>
      </c>
      <c r="D423" s="379" t="s">
        <v>3422</v>
      </c>
      <c r="E423" s="1168">
        <v>0</v>
      </c>
      <c r="F423" s="1168">
        <v>5000000</v>
      </c>
      <c r="G423" s="1168">
        <v>0</v>
      </c>
      <c r="H423" s="1168">
        <v>5000000</v>
      </c>
    </row>
    <row r="424" spans="1:8" ht="12.75">
      <c r="A424" s="1822" t="s">
        <v>1895</v>
      </c>
      <c r="B424" s="379" t="s">
        <v>1896</v>
      </c>
      <c r="C424" s="1823" t="s">
        <v>1897</v>
      </c>
      <c r="D424" s="379" t="s">
        <v>3422</v>
      </c>
      <c r="E424" s="1168">
        <v>0</v>
      </c>
      <c r="F424" s="1168">
        <v>700000</v>
      </c>
      <c r="G424" s="1168">
        <v>700000</v>
      </c>
      <c r="H424" s="1168">
        <v>0</v>
      </c>
    </row>
    <row r="425" spans="1:8" ht="12.75">
      <c r="A425" s="1822" t="s">
        <v>1898</v>
      </c>
      <c r="B425" s="379" t="s">
        <v>1899</v>
      </c>
      <c r="C425" s="1823" t="s">
        <v>1900</v>
      </c>
      <c r="D425" s="379" t="s">
        <v>3422</v>
      </c>
      <c r="E425" s="1168">
        <v>0</v>
      </c>
      <c r="F425" s="1168">
        <v>600000</v>
      </c>
      <c r="G425" s="1168">
        <v>600000</v>
      </c>
      <c r="H425" s="1168">
        <v>0</v>
      </c>
    </row>
    <row r="426" spans="1:8" ht="12.75">
      <c r="A426" s="1822" t="s">
        <v>1901</v>
      </c>
      <c r="B426" s="379" t="s">
        <v>1902</v>
      </c>
      <c r="C426" s="1823" t="s">
        <v>1900</v>
      </c>
      <c r="D426" s="379" t="s">
        <v>3422</v>
      </c>
      <c r="E426" s="1168">
        <v>0</v>
      </c>
      <c r="F426" s="1168">
        <v>285000</v>
      </c>
      <c r="G426" s="1168">
        <v>285000</v>
      </c>
      <c r="H426" s="1168">
        <v>0</v>
      </c>
    </row>
    <row r="427" spans="1:8" ht="12.75">
      <c r="A427" s="1822" t="s">
        <v>1903</v>
      </c>
      <c r="B427" s="379" t="s">
        <v>1904</v>
      </c>
      <c r="C427" s="1823" t="s">
        <v>1905</v>
      </c>
      <c r="D427" s="379" t="s">
        <v>3422</v>
      </c>
      <c r="E427" s="1168">
        <v>0</v>
      </c>
      <c r="F427" s="1168">
        <v>440000</v>
      </c>
      <c r="G427" s="1168">
        <v>440000</v>
      </c>
      <c r="H427" s="1168">
        <v>0</v>
      </c>
    </row>
    <row r="428" spans="1:8" ht="12.75">
      <c r="A428" s="1822" t="s">
        <v>1906</v>
      </c>
      <c r="B428" s="379" t="s">
        <v>1907</v>
      </c>
      <c r="C428" s="1823" t="s">
        <v>1908</v>
      </c>
      <c r="D428" s="379" t="s">
        <v>3422</v>
      </c>
      <c r="E428" s="1168">
        <v>0</v>
      </c>
      <c r="F428" s="1168">
        <v>140000</v>
      </c>
      <c r="G428" s="1168">
        <v>140000</v>
      </c>
      <c r="H428" s="1168">
        <v>0</v>
      </c>
    </row>
    <row r="429" spans="1:8" ht="12.75">
      <c r="A429" s="1822" t="s">
        <v>1909</v>
      </c>
      <c r="B429" s="379" t="s">
        <v>1910</v>
      </c>
      <c r="C429" s="1823" t="s">
        <v>1908</v>
      </c>
      <c r="D429" s="379" t="s">
        <v>3422</v>
      </c>
      <c r="E429" s="1168">
        <v>0</v>
      </c>
      <c r="F429" s="1168">
        <v>560000</v>
      </c>
      <c r="G429" s="1168">
        <v>560000</v>
      </c>
      <c r="H429" s="1168">
        <v>0</v>
      </c>
    </row>
    <row r="430" spans="1:8" ht="12.75">
      <c r="A430" s="1822" t="s">
        <v>1911</v>
      </c>
      <c r="B430" s="379" t="s">
        <v>1912</v>
      </c>
      <c r="C430" s="1823" t="s">
        <v>1913</v>
      </c>
      <c r="D430" s="379" t="s">
        <v>3422</v>
      </c>
      <c r="E430" s="1168">
        <v>0</v>
      </c>
      <c r="F430" s="1168">
        <v>962000</v>
      </c>
      <c r="G430" s="1168">
        <v>962000</v>
      </c>
      <c r="H430" s="1168">
        <v>0</v>
      </c>
    </row>
    <row r="431" spans="1:8" ht="12.75">
      <c r="A431" s="1822" t="s">
        <v>1914</v>
      </c>
      <c r="B431" s="379" t="s">
        <v>1915</v>
      </c>
      <c r="C431" s="1823" t="s">
        <v>1916</v>
      </c>
      <c r="D431" s="379" t="s">
        <v>3422</v>
      </c>
      <c r="E431" s="1168">
        <v>0</v>
      </c>
      <c r="F431" s="1168">
        <v>625000</v>
      </c>
      <c r="G431" s="1168">
        <v>625000</v>
      </c>
      <c r="H431" s="1168">
        <v>0</v>
      </c>
    </row>
    <row r="432" spans="1:8" ht="12.75">
      <c r="A432" s="1822" t="s">
        <v>1917</v>
      </c>
      <c r="B432" s="379" t="s">
        <v>1918</v>
      </c>
      <c r="C432" s="1823" t="s">
        <v>1919</v>
      </c>
      <c r="D432" s="379" t="s">
        <v>3422</v>
      </c>
      <c r="E432" s="1168">
        <v>0</v>
      </c>
      <c r="F432" s="1168">
        <v>784000</v>
      </c>
      <c r="G432" s="1168">
        <v>778000</v>
      </c>
      <c r="H432" s="1168">
        <v>6000</v>
      </c>
    </row>
    <row r="433" spans="1:8" ht="12.75">
      <c r="A433" s="1822" t="s">
        <v>1920</v>
      </c>
      <c r="B433" s="379" t="s">
        <v>1921</v>
      </c>
      <c r="C433" s="1823" t="s">
        <v>1922</v>
      </c>
      <c r="D433" s="379" t="s">
        <v>3422</v>
      </c>
      <c r="E433" s="1168">
        <v>0</v>
      </c>
      <c r="F433" s="1168">
        <v>90000</v>
      </c>
      <c r="G433" s="1168">
        <v>90000</v>
      </c>
      <c r="H433" s="1168">
        <v>0</v>
      </c>
    </row>
    <row r="434" spans="1:8" ht="12.75">
      <c r="A434" s="1822" t="s">
        <v>1923</v>
      </c>
      <c r="B434" s="379" t="s">
        <v>1924</v>
      </c>
      <c r="C434" s="1823" t="s">
        <v>1925</v>
      </c>
      <c r="D434" s="379" t="s">
        <v>3422</v>
      </c>
      <c r="E434" s="1168">
        <v>0</v>
      </c>
      <c r="F434" s="1168">
        <v>1200000</v>
      </c>
      <c r="G434" s="1168">
        <v>1200000</v>
      </c>
      <c r="H434" s="1168">
        <v>0</v>
      </c>
    </row>
    <row r="435" spans="1:8" ht="12.75">
      <c r="A435" s="1822" t="s">
        <v>1926</v>
      </c>
      <c r="B435" s="379" t="s">
        <v>1927</v>
      </c>
      <c r="C435" s="1823" t="s">
        <v>1928</v>
      </c>
      <c r="D435" s="379" t="s">
        <v>3422</v>
      </c>
      <c r="E435" s="1168">
        <v>0</v>
      </c>
      <c r="F435" s="1168">
        <v>1300000</v>
      </c>
      <c r="G435" s="1168">
        <v>1300000</v>
      </c>
      <c r="H435" s="1168">
        <v>0</v>
      </c>
    </row>
    <row r="436" spans="1:8" ht="12.75">
      <c r="A436" s="1822" t="s">
        <v>1929</v>
      </c>
      <c r="B436" s="379" t="s">
        <v>1896</v>
      </c>
      <c r="C436" s="1823" t="s">
        <v>1930</v>
      </c>
      <c r="D436" s="379" t="s">
        <v>3422</v>
      </c>
      <c r="E436" s="1168">
        <v>0</v>
      </c>
      <c r="F436" s="1168">
        <v>300000</v>
      </c>
      <c r="G436" s="1168">
        <v>300000</v>
      </c>
      <c r="H436" s="1168">
        <v>0</v>
      </c>
    </row>
    <row r="437" spans="1:8" ht="12.75">
      <c r="A437" s="1822" t="s">
        <v>1931</v>
      </c>
      <c r="B437" s="379" t="s">
        <v>1932</v>
      </c>
      <c r="C437" s="1823" t="s">
        <v>1891</v>
      </c>
      <c r="D437" s="379" t="s">
        <v>3422</v>
      </c>
      <c r="E437" s="1168">
        <v>0</v>
      </c>
      <c r="F437" s="1168">
        <v>640000</v>
      </c>
      <c r="G437" s="1168">
        <v>640000</v>
      </c>
      <c r="H437" s="1168">
        <v>0</v>
      </c>
    </row>
    <row r="438" spans="1:8" ht="12.75">
      <c r="A438" s="1822" t="s">
        <v>1933</v>
      </c>
      <c r="B438" s="379" t="s">
        <v>1934</v>
      </c>
      <c r="C438" s="1823" t="s">
        <v>1935</v>
      </c>
      <c r="D438" s="379" t="s">
        <v>3422</v>
      </c>
      <c r="E438" s="1168">
        <v>0</v>
      </c>
      <c r="F438" s="1168">
        <v>1063000</v>
      </c>
      <c r="G438" s="1168">
        <v>1063000</v>
      </c>
      <c r="H438" s="1168">
        <v>0</v>
      </c>
    </row>
    <row r="439" spans="1:8" ht="12.75">
      <c r="A439" s="1822" t="s">
        <v>1936</v>
      </c>
      <c r="B439" s="379" t="s">
        <v>1937</v>
      </c>
      <c r="C439" s="1823" t="s">
        <v>1938</v>
      </c>
      <c r="D439" s="379" t="s">
        <v>3422</v>
      </c>
      <c r="E439" s="1168">
        <v>0</v>
      </c>
      <c r="F439" s="1168">
        <v>1400000</v>
      </c>
      <c r="G439" s="1168">
        <v>1400000</v>
      </c>
      <c r="H439" s="1168">
        <v>0</v>
      </c>
    </row>
    <row r="440" spans="1:8" ht="12.75">
      <c r="A440" s="1822" t="s">
        <v>1939</v>
      </c>
      <c r="B440" s="379" t="s">
        <v>1940</v>
      </c>
      <c r="C440" s="1823" t="s">
        <v>1941</v>
      </c>
      <c r="D440" s="379" t="s">
        <v>3422</v>
      </c>
      <c r="E440" s="1168">
        <v>0</v>
      </c>
      <c r="F440" s="1168">
        <v>1400000</v>
      </c>
      <c r="G440" s="1168">
        <v>1399230.5</v>
      </c>
      <c r="H440" s="1168">
        <v>769.5</v>
      </c>
    </row>
    <row r="441" spans="1:8" ht="12.75">
      <c r="A441" s="1822" t="s">
        <v>1942</v>
      </c>
      <c r="B441" s="379" t="s">
        <v>1943</v>
      </c>
      <c r="C441" s="1823" t="s">
        <v>1944</v>
      </c>
      <c r="D441" s="379" t="s">
        <v>3422</v>
      </c>
      <c r="E441" s="1168">
        <v>0</v>
      </c>
      <c r="F441" s="1168">
        <v>300000</v>
      </c>
      <c r="G441" s="1168">
        <v>300000</v>
      </c>
      <c r="H441" s="1168">
        <v>0</v>
      </c>
    </row>
    <row r="442" spans="1:8" ht="12.75">
      <c r="A442" s="1822" t="s">
        <v>1945</v>
      </c>
      <c r="B442" s="379" t="s">
        <v>1937</v>
      </c>
      <c r="C442" s="1823" t="s">
        <v>1946</v>
      </c>
      <c r="D442" s="379" t="s">
        <v>3422</v>
      </c>
      <c r="E442" s="1168">
        <v>0</v>
      </c>
      <c r="F442" s="1168">
        <v>500000</v>
      </c>
      <c r="G442" s="1168">
        <v>0</v>
      </c>
      <c r="H442" s="1168">
        <v>500000</v>
      </c>
    </row>
    <row r="443" spans="1:8" ht="12.75">
      <c r="A443" s="1822" t="s">
        <v>1947</v>
      </c>
      <c r="B443" s="379" t="s">
        <v>1948</v>
      </c>
      <c r="C443" s="1823" t="s">
        <v>1949</v>
      </c>
      <c r="D443" s="379" t="s">
        <v>3422</v>
      </c>
      <c r="E443" s="1168">
        <v>0</v>
      </c>
      <c r="F443" s="1168">
        <v>875000</v>
      </c>
      <c r="G443" s="1168">
        <v>875000</v>
      </c>
      <c r="H443" s="1168">
        <v>0</v>
      </c>
    </row>
    <row r="444" spans="1:8" ht="12.75">
      <c r="A444" s="1822" t="s">
        <v>1950</v>
      </c>
      <c r="B444" s="379" t="s">
        <v>1951</v>
      </c>
      <c r="C444" s="1823" t="s">
        <v>1952</v>
      </c>
      <c r="D444" s="379" t="s">
        <v>3422</v>
      </c>
      <c r="E444" s="1168">
        <v>0</v>
      </c>
      <c r="F444" s="1168">
        <v>370000</v>
      </c>
      <c r="G444" s="1168">
        <v>370000</v>
      </c>
      <c r="H444" s="1168">
        <v>0</v>
      </c>
    </row>
    <row r="445" spans="1:8" ht="12.75">
      <c r="A445" s="1822" t="s">
        <v>1953</v>
      </c>
      <c r="B445" s="379" t="s">
        <v>1954</v>
      </c>
      <c r="C445" s="1823" t="s">
        <v>1955</v>
      </c>
      <c r="D445" s="379" t="s">
        <v>3422</v>
      </c>
      <c r="E445" s="1168">
        <v>0</v>
      </c>
      <c r="F445" s="1168">
        <v>1300000</v>
      </c>
      <c r="G445" s="1168">
        <v>1300000</v>
      </c>
      <c r="H445" s="1168">
        <v>0</v>
      </c>
    </row>
    <row r="446" spans="1:8" ht="12.75">
      <c r="A446" s="1822" t="s">
        <v>1956</v>
      </c>
      <c r="B446" s="379" t="s">
        <v>1957</v>
      </c>
      <c r="C446" s="1823" t="s">
        <v>1887</v>
      </c>
      <c r="D446" s="379" t="s">
        <v>3422</v>
      </c>
      <c r="E446" s="1168">
        <v>0</v>
      </c>
      <c r="F446" s="1168">
        <v>100000</v>
      </c>
      <c r="G446" s="1168">
        <v>100000</v>
      </c>
      <c r="H446" s="1168">
        <v>0</v>
      </c>
    </row>
    <row r="447" spans="1:8" ht="12.75">
      <c r="A447" s="1822" t="s">
        <v>1958</v>
      </c>
      <c r="B447" s="379" t="s">
        <v>1959</v>
      </c>
      <c r="C447" s="1823" t="s">
        <v>1960</v>
      </c>
      <c r="D447" s="379" t="s">
        <v>3422</v>
      </c>
      <c r="E447" s="1168">
        <v>0</v>
      </c>
      <c r="F447" s="1168">
        <v>350000</v>
      </c>
      <c r="G447" s="1168">
        <v>350000</v>
      </c>
      <c r="H447" s="1168">
        <v>0</v>
      </c>
    </row>
    <row r="448" spans="1:8" ht="12.75">
      <c r="A448" s="1822" t="s">
        <v>1961</v>
      </c>
      <c r="B448" s="379" t="s">
        <v>1962</v>
      </c>
      <c r="C448" s="1823" t="s">
        <v>1963</v>
      </c>
      <c r="D448" s="379" t="s">
        <v>3422</v>
      </c>
      <c r="E448" s="1168">
        <v>0</v>
      </c>
      <c r="F448" s="1168">
        <v>190000</v>
      </c>
      <c r="G448" s="1168">
        <v>0</v>
      </c>
      <c r="H448" s="1168">
        <v>190000</v>
      </c>
    </row>
    <row r="449" spans="1:8" ht="12.75">
      <c r="A449" s="1822" t="s">
        <v>1964</v>
      </c>
      <c r="B449" s="379" t="s">
        <v>1965</v>
      </c>
      <c r="C449" s="1823" t="s">
        <v>1966</v>
      </c>
      <c r="D449" s="379" t="s">
        <v>3422</v>
      </c>
      <c r="E449" s="1168">
        <v>0</v>
      </c>
      <c r="F449" s="1168">
        <v>324000</v>
      </c>
      <c r="G449" s="1168">
        <v>324000</v>
      </c>
      <c r="H449" s="1168">
        <v>0</v>
      </c>
    </row>
    <row r="450" spans="1:8" ht="12.75">
      <c r="A450" s="1822" t="s">
        <v>1967</v>
      </c>
      <c r="B450" s="379" t="s">
        <v>1968</v>
      </c>
      <c r="C450" s="1823" t="s">
        <v>1969</v>
      </c>
      <c r="D450" s="379" t="s">
        <v>3422</v>
      </c>
      <c r="E450" s="1168">
        <v>0</v>
      </c>
      <c r="F450" s="1168">
        <v>500000</v>
      </c>
      <c r="G450" s="1168">
        <v>500000</v>
      </c>
      <c r="H450" s="1168">
        <v>0</v>
      </c>
    </row>
    <row r="451" spans="1:8" ht="12.75">
      <c r="A451" s="1822" t="s">
        <v>1970</v>
      </c>
      <c r="B451" s="379" t="s">
        <v>1971</v>
      </c>
      <c r="C451" s="1823" t="s">
        <v>1972</v>
      </c>
      <c r="D451" s="379" t="s">
        <v>3422</v>
      </c>
      <c r="E451" s="1168">
        <v>0</v>
      </c>
      <c r="F451" s="1168">
        <v>749000</v>
      </c>
      <c r="G451" s="1168">
        <v>749000</v>
      </c>
      <c r="H451" s="1168">
        <v>0</v>
      </c>
    </row>
    <row r="452" spans="1:8" ht="12.75">
      <c r="A452" s="1822" t="s">
        <v>1973</v>
      </c>
      <c r="B452" s="379" t="s">
        <v>1974</v>
      </c>
      <c r="C452" s="1823" t="s">
        <v>1975</v>
      </c>
      <c r="D452" s="379" t="s">
        <v>3422</v>
      </c>
      <c r="E452" s="1168">
        <v>0</v>
      </c>
      <c r="F452" s="1168">
        <v>1200000</v>
      </c>
      <c r="G452" s="1168">
        <v>1152000</v>
      </c>
      <c r="H452" s="1168">
        <v>48000</v>
      </c>
    </row>
    <row r="453" spans="1:8" ht="12.75">
      <c r="A453" s="1822" t="s">
        <v>1976</v>
      </c>
      <c r="B453" s="379" t="s">
        <v>1977</v>
      </c>
      <c r="C453" s="1823" t="s">
        <v>1978</v>
      </c>
      <c r="D453" s="379" t="s">
        <v>3422</v>
      </c>
      <c r="E453" s="1168">
        <v>0</v>
      </c>
      <c r="F453" s="1168">
        <v>462000</v>
      </c>
      <c r="G453" s="1168">
        <v>462000</v>
      </c>
      <c r="H453" s="1168">
        <v>0</v>
      </c>
    </row>
    <row r="454" spans="1:8" ht="12.75">
      <c r="A454" s="1822" t="s">
        <v>1979</v>
      </c>
      <c r="B454" s="379" t="s">
        <v>1980</v>
      </c>
      <c r="C454" s="1823" t="s">
        <v>1981</v>
      </c>
      <c r="D454" s="379" t="s">
        <v>3422</v>
      </c>
      <c r="E454" s="1168">
        <v>0</v>
      </c>
      <c r="F454" s="1168">
        <v>700000</v>
      </c>
      <c r="G454" s="1168">
        <v>700000</v>
      </c>
      <c r="H454" s="1168">
        <v>0</v>
      </c>
    </row>
    <row r="455" spans="1:8" ht="12.75">
      <c r="A455" s="1822" t="s">
        <v>1982</v>
      </c>
      <c r="B455" s="379" t="s">
        <v>1983</v>
      </c>
      <c r="C455" s="1823" t="s">
        <v>1984</v>
      </c>
      <c r="D455" s="379" t="s">
        <v>3422</v>
      </c>
      <c r="E455" s="1168">
        <v>0</v>
      </c>
      <c r="F455" s="1168">
        <v>292000</v>
      </c>
      <c r="G455" s="1168">
        <v>292000</v>
      </c>
      <c r="H455" s="1168">
        <v>0</v>
      </c>
    </row>
    <row r="456" spans="1:8" ht="12.75">
      <c r="A456" s="1822" t="s">
        <v>1985</v>
      </c>
      <c r="B456" s="379" t="s">
        <v>1937</v>
      </c>
      <c r="C456" s="1823" t="s">
        <v>1986</v>
      </c>
      <c r="D456" s="379" t="s">
        <v>3422</v>
      </c>
      <c r="E456" s="1168">
        <v>0</v>
      </c>
      <c r="F456" s="1168">
        <v>1200000</v>
      </c>
      <c r="G456" s="1168">
        <v>1200000</v>
      </c>
      <c r="H456" s="1168">
        <v>0</v>
      </c>
    </row>
    <row r="457" spans="1:8" ht="12.75">
      <c r="A457" s="1822" t="s">
        <v>1987</v>
      </c>
      <c r="B457" s="379" t="s">
        <v>1988</v>
      </c>
      <c r="C457" s="1823" t="s">
        <v>1989</v>
      </c>
      <c r="D457" s="379" t="s">
        <v>3422</v>
      </c>
      <c r="E457" s="1168">
        <v>0</v>
      </c>
      <c r="F457" s="1168">
        <v>537000</v>
      </c>
      <c r="G457" s="1168">
        <v>537000</v>
      </c>
      <c r="H457" s="1168">
        <v>0</v>
      </c>
    </row>
    <row r="458" spans="1:8" ht="12.75">
      <c r="A458" s="1822" t="s">
        <v>1990</v>
      </c>
      <c r="B458" s="379" t="s">
        <v>1934</v>
      </c>
      <c r="C458" s="1823" t="s">
        <v>1991</v>
      </c>
      <c r="D458" s="379" t="s">
        <v>3422</v>
      </c>
      <c r="E458" s="1168">
        <v>0</v>
      </c>
      <c r="F458" s="1168">
        <v>650000</v>
      </c>
      <c r="G458" s="1168">
        <v>650000</v>
      </c>
      <c r="H458" s="1168">
        <v>0</v>
      </c>
    </row>
    <row r="459" spans="1:8" ht="12.75">
      <c r="A459" s="1822" t="s">
        <v>1992</v>
      </c>
      <c r="B459" s="379" t="s">
        <v>1993</v>
      </c>
      <c r="C459" s="1823" t="s">
        <v>1994</v>
      </c>
      <c r="D459" s="379" t="s">
        <v>3422</v>
      </c>
      <c r="E459" s="1168">
        <v>0</v>
      </c>
      <c r="F459" s="1168">
        <v>104000</v>
      </c>
      <c r="G459" s="1168">
        <v>103000</v>
      </c>
      <c r="H459" s="1168">
        <v>1000</v>
      </c>
    </row>
    <row r="460" spans="1:8" ht="12.75">
      <c r="A460" s="1822" t="s">
        <v>1995</v>
      </c>
      <c r="B460" s="379" t="s">
        <v>1996</v>
      </c>
      <c r="C460" s="1823" t="s">
        <v>1994</v>
      </c>
      <c r="D460" s="379" t="s">
        <v>3422</v>
      </c>
      <c r="E460" s="1168">
        <v>0</v>
      </c>
      <c r="F460" s="1168">
        <v>400000</v>
      </c>
      <c r="G460" s="1168">
        <v>400000</v>
      </c>
      <c r="H460" s="1168">
        <v>0</v>
      </c>
    </row>
    <row r="461" spans="1:8" ht="12.75">
      <c r="A461" s="1822" t="s">
        <v>1997</v>
      </c>
      <c r="B461" s="379" t="s">
        <v>1998</v>
      </c>
      <c r="C461" s="1823" t="s">
        <v>1944</v>
      </c>
      <c r="D461" s="379" t="s">
        <v>3422</v>
      </c>
      <c r="E461" s="1168">
        <v>0</v>
      </c>
      <c r="F461" s="1168">
        <v>500000</v>
      </c>
      <c r="G461" s="1168">
        <v>500000</v>
      </c>
      <c r="H461" s="1168">
        <v>0</v>
      </c>
    </row>
    <row r="462" spans="1:8" ht="12.75">
      <c r="A462" s="1822" t="s">
        <v>1999</v>
      </c>
      <c r="B462" s="379" t="s">
        <v>2000</v>
      </c>
      <c r="C462" s="1823" t="s">
        <v>2001</v>
      </c>
      <c r="D462" s="379" t="s">
        <v>3422</v>
      </c>
      <c r="E462" s="1168">
        <v>0</v>
      </c>
      <c r="F462" s="1168">
        <v>600000</v>
      </c>
      <c r="G462" s="1168">
        <v>600000</v>
      </c>
      <c r="H462" s="1168">
        <v>0</v>
      </c>
    </row>
    <row r="463" spans="1:8" ht="12.75">
      <c r="A463" s="1822" t="s">
        <v>2002</v>
      </c>
      <c r="B463" s="379" t="s">
        <v>2003</v>
      </c>
      <c r="C463" s="1823" t="s">
        <v>2004</v>
      </c>
      <c r="D463" s="379" t="s">
        <v>3422</v>
      </c>
      <c r="E463" s="1168">
        <v>0</v>
      </c>
      <c r="F463" s="1168">
        <v>1400000</v>
      </c>
      <c r="G463" s="1168">
        <v>1400000</v>
      </c>
      <c r="H463" s="1168">
        <v>0</v>
      </c>
    </row>
    <row r="464" spans="1:8" ht="12.75">
      <c r="A464" s="1822" t="s">
        <v>2005</v>
      </c>
      <c r="B464" s="379" t="s">
        <v>2006</v>
      </c>
      <c r="C464" s="1823" t="s">
        <v>2007</v>
      </c>
      <c r="D464" s="379" t="s">
        <v>3422</v>
      </c>
      <c r="E464" s="1168">
        <v>0</v>
      </c>
      <c r="F464" s="1168">
        <v>1400000</v>
      </c>
      <c r="G464" s="1168">
        <v>1400000</v>
      </c>
      <c r="H464" s="1168">
        <v>0</v>
      </c>
    </row>
    <row r="465" spans="1:8" ht="12.75">
      <c r="A465" s="1822" t="s">
        <v>2008</v>
      </c>
      <c r="B465" s="379" t="s">
        <v>2009</v>
      </c>
      <c r="C465" s="1823" t="s">
        <v>2010</v>
      </c>
      <c r="D465" s="379" t="s">
        <v>3422</v>
      </c>
      <c r="E465" s="1168">
        <v>0</v>
      </c>
      <c r="F465" s="1168">
        <v>470000</v>
      </c>
      <c r="G465" s="1168">
        <v>470000</v>
      </c>
      <c r="H465" s="1168">
        <v>0</v>
      </c>
    </row>
    <row r="466" spans="1:8" ht="12.75">
      <c r="A466" s="1822" t="s">
        <v>2011</v>
      </c>
      <c r="B466" s="379" t="s">
        <v>2012</v>
      </c>
      <c r="C466" s="1823" t="s">
        <v>2013</v>
      </c>
      <c r="D466" s="379" t="s">
        <v>3422</v>
      </c>
      <c r="E466" s="1168">
        <v>0</v>
      </c>
      <c r="F466" s="1168">
        <v>300000</v>
      </c>
      <c r="G466" s="1168">
        <v>300000</v>
      </c>
      <c r="H466" s="1168">
        <v>0</v>
      </c>
    </row>
    <row r="467" spans="1:8" ht="12.75">
      <c r="A467" s="1822" t="s">
        <v>2014</v>
      </c>
      <c r="B467" s="379" t="s">
        <v>2015</v>
      </c>
      <c r="C467" s="1823" t="s">
        <v>2013</v>
      </c>
      <c r="D467" s="379" t="s">
        <v>3422</v>
      </c>
      <c r="E467" s="1168">
        <v>0</v>
      </c>
      <c r="F467" s="1168">
        <v>342000</v>
      </c>
      <c r="G467" s="1168">
        <v>342000</v>
      </c>
      <c r="H467" s="1168">
        <v>0</v>
      </c>
    </row>
    <row r="468" spans="1:8" ht="12.75">
      <c r="A468" s="1822" t="s">
        <v>2016</v>
      </c>
      <c r="B468" s="379" t="s">
        <v>2017</v>
      </c>
      <c r="C468" s="1823" t="s">
        <v>2018</v>
      </c>
      <c r="D468" s="379" t="s">
        <v>3422</v>
      </c>
      <c r="E468" s="1168">
        <v>0</v>
      </c>
      <c r="F468" s="1168">
        <v>79000</v>
      </c>
      <c r="G468" s="1168">
        <v>63000</v>
      </c>
      <c r="H468" s="1168">
        <v>16000</v>
      </c>
    </row>
    <row r="469" spans="1:8" ht="12.75">
      <c r="A469" s="1822" t="s">
        <v>2019</v>
      </c>
      <c r="B469" s="379" t="s">
        <v>1937</v>
      </c>
      <c r="C469" s="1823" t="s">
        <v>2020</v>
      </c>
      <c r="D469" s="379" t="s">
        <v>3422</v>
      </c>
      <c r="E469" s="1168">
        <v>0</v>
      </c>
      <c r="F469" s="1168">
        <v>400000</v>
      </c>
      <c r="G469" s="1168">
        <v>400000</v>
      </c>
      <c r="H469" s="1168">
        <v>0</v>
      </c>
    </row>
    <row r="470" spans="1:8" ht="12.75">
      <c r="A470" s="1822" t="s">
        <v>2021</v>
      </c>
      <c r="B470" s="379" t="s">
        <v>2022</v>
      </c>
      <c r="C470" s="1823" t="s">
        <v>2023</v>
      </c>
      <c r="D470" s="379" t="s">
        <v>3422</v>
      </c>
      <c r="E470" s="1168">
        <v>0</v>
      </c>
      <c r="F470" s="1168">
        <v>224000</v>
      </c>
      <c r="G470" s="1168">
        <v>224000</v>
      </c>
      <c r="H470" s="1168">
        <v>0</v>
      </c>
    </row>
    <row r="471" spans="1:8" ht="12.75">
      <c r="A471" s="1822" t="s">
        <v>2024</v>
      </c>
      <c r="B471" s="379" t="s">
        <v>2025</v>
      </c>
      <c r="C471" s="1823" t="s">
        <v>2023</v>
      </c>
      <c r="D471" s="379" t="s">
        <v>3422</v>
      </c>
      <c r="E471" s="1168">
        <v>0</v>
      </c>
      <c r="F471" s="1168">
        <v>510000</v>
      </c>
      <c r="G471" s="1168">
        <v>510000</v>
      </c>
      <c r="H471" s="1168">
        <v>0</v>
      </c>
    </row>
    <row r="472" spans="1:8" ht="12.75">
      <c r="A472" s="1822" t="s">
        <v>2026</v>
      </c>
      <c r="B472" s="379" t="s">
        <v>2027</v>
      </c>
      <c r="C472" s="1823" t="s">
        <v>2028</v>
      </c>
      <c r="D472" s="379" t="s">
        <v>3422</v>
      </c>
      <c r="E472" s="1168">
        <v>0</v>
      </c>
      <c r="F472" s="1168">
        <v>1700000</v>
      </c>
      <c r="G472" s="1168">
        <v>1700000</v>
      </c>
      <c r="H472" s="1168">
        <v>0</v>
      </c>
    </row>
    <row r="473" spans="1:8" ht="12.75">
      <c r="A473" s="1822" t="s">
        <v>2029</v>
      </c>
      <c r="B473" s="379" t="s">
        <v>2030</v>
      </c>
      <c r="C473" s="1823" t="s">
        <v>2031</v>
      </c>
      <c r="D473" s="379" t="s">
        <v>3422</v>
      </c>
      <c r="E473" s="1168">
        <v>0</v>
      </c>
      <c r="F473" s="1168">
        <v>400000</v>
      </c>
      <c r="G473" s="1168">
        <v>400000</v>
      </c>
      <c r="H473" s="1168">
        <v>0</v>
      </c>
    </row>
    <row r="474" spans="1:8" ht="12.75">
      <c r="A474" s="1822" t="s">
        <v>2032</v>
      </c>
      <c r="B474" s="379" t="s">
        <v>2033</v>
      </c>
      <c r="C474" s="1823" t="s">
        <v>2034</v>
      </c>
      <c r="D474" s="379" t="s">
        <v>3422</v>
      </c>
      <c r="E474" s="1168">
        <v>0</v>
      </c>
      <c r="F474" s="1168">
        <v>600000</v>
      </c>
      <c r="G474" s="1168">
        <v>600000</v>
      </c>
      <c r="H474" s="1168">
        <v>0</v>
      </c>
    </row>
    <row r="475" spans="1:8" ht="12.75">
      <c r="A475" s="1822" t="s">
        <v>2035</v>
      </c>
      <c r="B475" s="379" t="s">
        <v>2036</v>
      </c>
      <c r="C475" s="1823" t="s">
        <v>2037</v>
      </c>
      <c r="D475" s="379" t="s">
        <v>3422</v>
      </c>
      <c r="E475" s="1168">
        <v>0</v>
      </c>
      <c r="F475" s="1168">
        <v>420000</v>
      </c>
      <c r="G475" s="1168">
        <v>420000</v>
      </c>
      <c r="H475" s="1168">
        <v>0</v>
      </c>
    </row>
    <row r="476" spans="1:8" ht="12.75">
      <c r="A476" s="1822" t="s">
        <v>2038</v>
      </c>
      <c r="B476" s="379" t="s">
        <v>1927</v>
      </c>
      <c r="C476" s="1823" t="s">
        <v>2039</v>
      </c>
      <c r="D476" s="379" t="s">
        <v>3422</v>
      </c>
      <c r="E476" s="1168">
        <v>0</v>
      </c>
      <c r="F476" s="1168">
        <v>1100000</v>
      </c>
      <c r="G476" s="1168">
        <v>1100000</v>
      </c>
      <c r="H476" s="1168">
        <v>0</v>
      </c>
    </row>
    <row r="477" spans="1:8" ht="12.75">
      <c r="A477" s="1822" t="s">
        <v>2040</v>
      </c>
      <c r="B477" s="379" t="s">
        <v>2041</v>
      </c>
      <c r="C477" s="1823" t="s">
        <v>2042</v>
      </c>
      <c r="D477" s="379" t="s">
        <v>3422</v>
      </c>
      <c r="E477" s="1168">
        <v>0</v>
      </c>
      <c r="F477" s="1168">
        <v>1200000</v>
      </c>
      <c r="G477" s="1168">
        <v>1200000</v>
      </c>
      <c r="H477" s="1168">
        <v>0</v>
      </c>
    </row>
    <row r="478" spans="1:8" ht="12.75">
      <c r="A478" s="1822" t="s">
        <v>2043</v>
      </c>
      <c r="B478" s="379" t="s">
        <v>1954</v>
      </c>
      <c r="C478" s="1823" t="s">
        <v>2044</v>
      </c>
      <c r="D478" s="379" t="s">
        <v>3422</v>
      </c>
      <c r="E478" s="1168">
        <v>0</v>
      </c>
      <c r="F478" s="1168">
        <v>909000</v>
      </c>
      <c r="G478" s="1168">
        <v>909000</v>
      </c>
      <c r="H478" s="1168">
        <v>0</v>
      </c>
    </row>
    <row r="479" spans="1:8" ht="12.75">
      <c r="A479" s="1822" t="s">
        <v>2045</v>
      </c>
      <c r="B479" s="379" t="s">
        <v>1954</v>
      </c>
      <c r="C479" s="1823" t="s">
        <v>2046</v>
      </c>
      <c r="D479" s="379" t="s">
        <v>3422</v>
      </c>
      <c r="E479" s="1168">
        <v>0</v>
      </c>
      <c r="F479" s="1168">
        <v>160000</v>
      </c>
      <c r="G479" s="1168">
        <v>160000</v>
      </c>
      <c r="H479" s="1168">
        <v>0</v>
      </c>
    </row>
    <row r="480" spans="1:8" ht="12.75">
      <c r="A480" s="1822" t="s">
        <v>2047</v>
      </c>
      <c r="B480" s="379" t="s">
        <v>2048</v>
      </c>
      <c r="C480" s="1823" t="s">
        <v>2049</v>
      </c>
      <c r="D480" s="379" t="s">
        <v>3422</v>
      </c>
      <c r="E480" s="1168">
        <v>0</v>
      </c>
      <c r="F480" s="1168">
        <v>43000</v>
      </c>
      <c r="G480" s="1168">
        <v>43000</v>
      </c>
      <c r="H480" s="1168">
        <v>0</v>
      </c>
    </row>
    <row r="481" spans="1:8" ht="12.75">
      <c r="A481" s="1822" t="s">
        <v>2050</v>
      </c>
      <c r="B481" s="379" t="s">
        <v>2051</v>
      </c>
      <c r="C481" s="1823" t="s">
        <v>2052</v>
      </c>
      <c r="D481" s="379" t="s">
        <v>3422</v>
      </c>
      <c r="E481" s="1168">
        <v>0</v>
      </c>
      <c r="F481" s="1168">
        <v>596000</v>
      </c>
      <c r="G481" s="1168">
        <v>556000</v>
      </c>
      <c r="H481" s="1168">
        <v>40000</v>
      </c>
    </row>
    <row r="482" spans="1:8" ht="12.75">
      <c r="A482" s="1822" t="s">
        <v>2053</v>
      </c>
      <c r="B482" s="379" t="s">
        <v>2054</v>
      </c>
      <c r="C482" s="1823" t="s">
        <v>2055</v>
      </c>
      <c r="D482" s="379" t="s">
        <v>3422</v>
      </c>
      <c r="E482" s="1168">
        <v>0</v>
      </c>
      <c r="F482" s="1168">
        <v>308000</v>
      </c>
      <c r="G482" s="1168">
        <v>308000</v>
      </c>
      <c r="H482" s="1168">
        <v>0</v>
      </c>
    </row>
    <row r="483" spans="1:8" ht="12.75">
      <c r="A483" s="1822" t="s">
        <v>2056</v>
      </c>
      <c r="B483" s="379" t="s">
        <v>2057</v>
      </c>
      <c r="C483" s="1823" t="s">
        <v>2058</v>
      </c>
      <c r="D483" s="379" t="s">
        <v>3422</v>
      </c>
      <c r="E483" s="1168">
        <v>0</v>
      </c>
      <c r="F483" s="1168">
        <v>318000</v>
      </c>
      <c r="G483" s="1168">
        <v>318000</v>
      </c>
      <c r="H483" s="1168">
        <v>0</v>
      </c>
    </row>
    <row r="484" spans="1:8" ht="12.75">
      <c r="A484" s="1822" t="s">
        <v>2059</v>
      </c>
      <c r="B484" s="379" t="s">
        <v>1998</v>
      </c>
      <c r="C484" s="1823" t="s">
        <v>2058</v>
      </c>
      <c r="D484" s="379" t="s">
        <v>3422</v>
      </c>
      <c r="E484" s="1168">
        <v>0</v>
      </c>
      <c r="F484" s="1168">
        <v>200000</v>
      </c>
      <c r="G484" s="1168">
        <v>200000</v>
      </c>
      <c r="H484" s="1168">
        <v>0</v>
      </c>
    </row>
    <row r="485" spans="1:8" ht="12.75">
      <c r="A485" s="1822" t="s">
        <v>2060</v>
      </c>
      <c r="B485" s="379" t="s">
        <v>2061</v>
      </c>
      <c r="C485" s="1823" t="s">
        <v>2062</v>
      </c>
      <c r="D485" s="379" t="s">
        <v>3422</v>
      </c>
      <c r="E485" s="1168">
        <v>0</v>
      </c>
      <c r="F485" s="1168">
        <v>70000</v>
      </c>
      <c r="G485" s="1168">
        <v>70000</v>
      </c>
      <c r="H485" s="1168">
        <v>0</v>
      </c>
    </row>
    <row r="486" spans="1:8" ht="12.75">
      <c r="A486" s="1822" t="s">
        <v>2063</v>
      </c>
      <c r="B486" s="379" t="s">
        <v>2064</v>
      </c>
      <c r="C486" s="1823" t="s">
        <v>2065</v>
      </c>
      <c r="D486" s="379" t="s">
        <v>3422</v>
      </c>
      <c r="E486" s="1168">
        <v>0</v>
      </c>
      <c r="F486" s="1168">
        <v>900000</v>
      </c>
      <c r="G486" s="1168">
        <v>900000</v>
      </c>
      <c r="H486" s="1168">
        <v>0</v>
      </c>
    </row>
    <row r="487" spans="1:8" ht="12.75">
      <c r="A487" s="1822" t="s">
        <v>2066</v>
      </c>
      <c r="B487" s="379" t="s">
        <v>2067</v>
      </c>
      <c r="C487" s="1823" t="s">
        <v>2068</v>
      </c>
      <c r="D487" s="379" t="s">
        <v>3422</v>
      </c>
      <c r="E487" s="1168">
        <v>0</v>
      </c>
      <c r="F487" s="1168">
        <v>472000</v>
      </c>
      <c r="G487" s="1168">
        <v>472000</v>
      </c>
      <c r="H487" s="1168">
        <v>0</v>
      </c>
    </row>
    <row r="488" spans="1:8" ht="12.75">
      <c r="A488" s="1822" t="s">
        <v>2069</v>
      </c>
      <c r="B488" s="379" t="s">
        <v>2070</v>
      </c>
      <c r="C488" s="1823" t="s">
        <v>2071</v>
      </c>
      <c r="D488" s="379" t="s">
        <v>3422</v>
      </c>
      <c r="E488" s="1168">
        <v>0</v>
      </c>
      <c r="F488" s="1168">
        <v>1126000</v>
      </c>
      <c r="G488" s="1168">
        <v>1126000</v>
      </c>
      <c r="H488" s="1168">
        <v>0</v>
      </c>
    </row>
    <row r="489" spans="1:8" ht="12.75">
      <c r="A489" s="1822" t="s">
        <v>2072</v>
      </c>
      <c r="B489" s="379" t="s">
        <v>2073</v>
      </c>
      <c r="C489" s="1823" t="s">
        <v>2074</v>
      </c>
      <c r="D489" s="379" t="s">
        <v>3422</v>
      </c>
      <c r="E489" s="1168">
        <v>0</v>
      </c>
      <c r="F489" s="1168">
        <v>415000</v>
      </c>
      <c r="G489" s="1168">
        <v>415000</v>
      </c>
      <c r="H489" s="1168">
        <v>0</v>
      </c>
    </row>
    <row r="490" spans="1:8" ht="12.75">
      <c r="A490" s="1822" t="s">
        <v>2075</v>
      </c>
      <c r="B490" s="379" t="s">
        <v>1937</v>
      </c>
      <c r="C490" s="1823" t="s">
        <v>2076</v>
      </c>
      <c r="D490" s="379" t="s">
        <v>3422</v>
      </c>
      <c r="E490" s="1168">
        <v>0</v>
      </c>
      <c r="F490" s="1168">
        <v>1300000</v>
      </c>
      <c r="G490" s="1168">
        <v>1300000</v>
      </c>
      <c r="H490" s="1168">
        <v>0</v>
      </c>
    </row>
    <row r="491" spans="1:8" ht="12.75">
      <c r="A491" s="1822" t="s">
        <v>2077</v>
      </c>
      <c r="B491" s="379" t="s">
        <v>2078</v>
      </c>
      <c r="C491" s="1823" t="s">
        <v>2062</v>
      </c>
      <c r="D491" s="379" t="s">
        <v>3422</v>
      </c>
      <c r="E491" s="1168">
        <v>0</v>
      </c>
      <c r="F491" s="1168">
        <v>187000</v>
      </c>
      <c r="G491" s="1168">
        <v>187000</v>
      </c>
      <c r="H491" s="1168">
        <v>0</v>
      </c>
    </row>
    <row r="492" spans="1:8" ht="12.75">
      <c r="A492" s="1822" t="s">
        <v>2079</v>
      </c>
      <c r="B492" s="379" t="s">
        <v>2080</v>
      </c>
      <c r="C492" s="1823" t="s">
        <v>2062</v>
      </c>
      <c r="D492" s="379" t="s">
        <v>3422</v>
      </c>
      <c r="E492" s="1168">
        <v>0</v>
      </c>
      <c r="F492" s="1168">
        <v>60000</v>
      </c>
      <c r="G492" s="1168">
        <v>60000</v>
      </c>
      <c r="H492" s="1168">
        <v>0</v>
      </c>
    </row>
    <row r="493" spans="1:8" ht="12.75">
      <c r="A493" s="1822" t="s">
        <v>2081</v>
      </c>
      <c r="B493" s="379" t="s">
        <v>2082</v>
      </c>
      <c r="C493" s="1823" t="s">
        <v>2083</v>
      </c>
      <c r="D493" s="379" t="s">
        <v>3422</v>
      </c>
      <c r="E493" s="1168">
        <v>0</v>
      </c>
      <c r="F493" s="1168">
        <v>1200000</v>
      </c>
      <c r="G493" s="1168">
        <v>1037000</v>
      </c>
      <c r="H493" s="1168">
        <v>163000</v>
      </c>
    </row>
    <row r="494" spans="1:8" ht="12.75">
      <c r="A494" s="1822" t="s">
        <v>2084</v>
      </c>
      <c r="B494" s="379" t="s">
        <v>2085</v>
      </c>
      <c r="C494" s="1823" t="s">
        <v>2086</v>
      </c>
      <c r="D494" s="379" t="s">
        <v>3422</v>
      </c>
      <c r="E494" s="1168">
        <v>0</v>
      </c>
      <c r="F494" s="1168">
        <v>700000</v>
      </c>
      <c r="G494" s="1168">
        <v>700000</v>
      </c>
      <c r="H494" s="1168">
        <v>0</v>
      </c>
    </row>
    <row r="495" spans="1:8" ht="12.75">
      <c r="A495" s="1822" t="s">
        <v>2087</v>
      </c>
      <c r="B495" s="379" t="s">
        <v>2088</v>
      </c>
      <c r="C495" s="1823" t="s">
        <v>2089</v>
      </c>
      <c r="D495" s="379" t="s">
        <v>3422</v>
      </c>
      <c r="E495" s="1168">
        <v>0</v>
      </c>
      <c r="F495" s="1168">
        <v>453000</v>
      </c>
      <c r="G495" s="1168">
        <v>453000</v>
      </c>
      <c r="H495" s="1168">
        <v>0</v>
      </c>
    </row>
    <row r="496" spans="1:8" ht="12.75">
      <c r="A496" s="1822" t="s">
        <v>2090</v>
      </c>
      <c r="B496" s="379" t="s">
        <v>2091</v>
      </c>
      <c r="C496" s="1823" t="s">
        <v>2092</v>
      </c>
      <c r="D496" s="379" t="s">
        <v>3422</v>
      </c>
      <c r="E496" s="1168">
        <v>0</v>
      </c>
      <c r="F496" s="1168">
        <v>90000</v>
      </c>
      <c r="G496" s="1168">
        <v>90000</v>
      </c>
      <c r="H496" s="1168">
        <v>0</v>
      </c>
    </row>
    <row r="497" spans="1:8" ht="12.75">
      <c r="A497" s="1822" t="s">
        <v>2093</v>
      </c>
      <c r="B497" s="379" t="s">
        <v>2094</v>
      </c>
      <c r="C497" s="1823" t="s">
        <v>2095</v>
      </c>
      <c r="D497" s="379" t="s">
        <v>3422</v>
      </c>
      <c r="E497" s="1168">
        <v>0</v>
      </c>
      <c r="F497" s="1168">
        <v>250000</v>
      </c>
      <c r="G497" s="1168">
        <v>250000</v>
      </c>
      <c r="H497" s="1168">
        <v>0</v>
      </c>
    </row>
    <row r="498" spans="1:8" ht="12.75">
      <c r="A498" s="1822" t="s">
        <v>2096</v>
      </c>
      <c r="B498" s="379" t="s">
        <v>2097</v>
      </c>
      <c r="C498" s="1823" t="s">
        <v>2095</v>
      </c>
      <c r="D498" s="379" t="s">
        <v>3422</v>
      </c>
      <c r="E498" s="1168">
        <v>0</v>
      </c>
      <c r="F498" s="1168">
        <v>650000</v>
      </c>
      <c r="G498" s="1168">
        <v>650000</v>
      </c>
      <c r="H498" s="1168">
        <v>0</v>
      </c>
    </row>
    <row r="499" spans="1:8" ht="12.75">
      <c r="A499" s="1822" t="s">
        <v>2098</v>
      </c>
      <c r="B499" s="379" t="s">
        <v>2099</v>
      </c>
      <c r="C499" s="1823" t="s">
        <v>2100</v>
      </c>
      <c r="D499" s="379" t="s">
        <v>3422</v>
      </c>
      <c r="E499" s="1168">
        <v>0</v>
      </c>
      <c r="F499" s="1168">
        <v>1400000</v>
      </c>
      <c r="G499" s="1168">
        <v>1400000</v>
      </c>
      <c r="H499" s="1168">
        <v>0</v>
      </c>
    </row>
    <row r="500" spans="1:8" ht="12.75">
      <c r="A500" s="1822" t="s">
        <v>2101</v>
      </c>
      <c r="B500" s="379" t="s">
        <v>2102</v>
      </c>
      <c r="C500" s="1823" t="s">
        <v>2103</v>
      </c>
      <c r="D500" s="379" t="s">
        <v>3422</v>
      </c>
      <c r="E500" s="1168">
        <v>0</v>
      </c>
      <c r="F500" s="1168">
        <v>250000</v>
      </c>
      <c r="G500" s="1168">
        <v>250000</v>
      </c>
      <c r="H500" s="1168">
        <v>0</v>
      </c>
    </row>
    <row r="501" spans="1:8" ht="12.75">
      <c r="A501" s="1822" t="s">
        <v>2104</v>
      </c>
      <c r="B501" s="379" t="s">
        <v>2105</v>
      </c>
      <c r="C501" s="1823" t="s">
        <v>2103</v>
      </c>
      <c r="D501" s="379" t="s">
        <v>3422</v>
      </c>
      <c r="E501" s="1168">
        <v>0</v>
      </c>
      <c r="F501" s="1168">
        <v>150000</v>
      </c>
      <c r="G501" s="1168">
        <v>0</v>
      </c>
      <c r="H501" s="1168">
        <v>150000</v>
      </c>
    </row>
    <row r="502" spans="1:8" ht="12.75">
      <c r="A502" s="1822" t="s">
        <v>2106</v>
      </c>
      <c r="B502" s="379" t="s">
        <v>2107</v>
      </c>
      <c r="C502" s="1823" t="s">
        <v>2108</v>
      </c>
      <c r="D502" s="379" t="s">
        <v>3422</v>
      </c>
      <c r="E502" s="1168">
        <v>0</v>
      </c>
      <c r="F502" s="1168">
        <v>881000</v>
      </c>
      <c r="G502" s="1168">
        <v>881000</v>
      </c>
      <c r="H502" s="1168">
        <v>0</v>
      </c>
    </row>
    <row r="503" spans="1:8" ht="12.75">
      <c r="A503" s="1822" t="s">
        <v>2109</v>
      </c>
      <c r="B503" s="379" t="s">
        <v>2110</v>
      </c>
      <c r="C503" s="1823" t="s">
        <v>2111</v>
      </c>
      <c r="D503" s="379" t="s">
        <v>3422</v>
      </c>
      <c r="E503" s="1168">
        <v>0</v>
      </c>
      <c r="F503" s="1168">
        <v>1400000</v>
      </c>
      <c r="G503" s="1168">
        <v>1400000</v>
      </c>
      <c r="H503" s="1168">
        <v>0</v>
      </c>
    </row>
    <row r="504" spans="1:8" ht="12.75">
      <c r="A504" s="1822" t="s">
        <v>2112</v>
      </c>
      <c r="B504" s="379" t="s">
        <v>2113</v>
      </c>
      <c r="C504" s="1823" t="s">
        <v>2114</v>
      </c>
      <c r="D504" s="379" t="s">
        <v>3422</v>
      </c>
      <c r="E504" s="1168">
        <v>0</v>
      </c>
      <c r="F504" s="1168">
        <v>442000</v>
      </c>
      <c r="G504" s="1168">
        <v>438953</v>
      </c>
      <c r="H504" s="1168">
        <v>3047</v>
      </c>
    </row>
    <row r="505" spans="1:8" ht="12.75">
      <c r="A505" s="1822" t="s">
        <v>2115</v>
      </c>
      <c r="B505" s="379" t="s">
        <v>2116</v>
      </c>
      <c r="C505" s="1823" t="s">
        <v>2117</v>
      </c>
      <c r="D505" s="379" t="s">
        <v>3422</v>
      </c>
      <c r="E505" s="1168">
        <v>0</v>
      </c>
      <c r="F505" s="1168">
        <v>94000</v>
      </c>
      <c r="G505" s="1168">
        <v>94000</v>
      </c>
      <c r="H505" s="1168">
        <v>0</v>
      </c>
    </row>
    <row r="506" spans="1:8" ht="12.75">
      <c r="A506" s="1822" t="s">
        <v>2118</v>
      </c>
      <c r="B506" s="379" t="s">
        <v>2119</v>
      </c>
      <c r="C506" s="1823" t="s">
        <v>2120</v>
      </c>
      <c r="D506" s="379" t="s">
        <v>3422</v>
      </c>
      <c r="E506" s="1168">
        <v>0</v>
      </c>
      <c r="F506" s="1168">
        <v>230000</v>
      </c>
      <c r="G506" s="1168">
        <v>230000</v>
      </c>
      <c r="H506" s="1168">
        <v>0</v>
      </c>
    </row>
    <row r="507" spans="1:8" ht="12.75">
      <c r="A507" s="1822" t="s">
        <v>2121</v>
      </c>
      <c r="B507" s="379" t="s">
        <v>2122</v>
      </c>
      <c r="C507" s="1823" t="s">
        <v>2123</v>
      </c>
      <c r="D507" s="379" t="s">
        <v>3422</v>
      </c>
      <c r="E507" s="1168">
        <v>0</v>
      </c>
      <c r="F507" s="1168">
        <v>350000</v>
      </c>
      <c r="G507" s="1168">
        <v>350000</v>
      </c>
      <c r="H507" s="1168">
        <v>0</v>
      </c>
    </row>
    <row r="508" spans="1:8" ht="12.75">
      <c r="A508" s="1822" t="s">
        <v>2124</v>
      </c>
      <c r="B508" s="379" t="s">
        <v>2125</v>
      </c>
      <c r="C508" s="1823" t="s">
        <v>2126</v>
      </c>
      <c r="D508" s="379" t="s">
        <v>3422</v>
      </c>
      <c r="E508" s="1168">
        <v>0</v>
      </c>
      <c r="F508" s="1168">
        <v>300000</v>
      </c>
      <c r="G508" s="1168">
        <v>300000</v>
      </c>
      <c r="H508" s="1168">
        <v>0</v>
      </c>
    </row>
    <row r="509" spans="1:8" ht="12.75">
      <c r="A509" s="1822" t="s">
        <v>2127</v>
      </c>
      <c r="B509" s="379" t="s">
        <v>2128</v>
      </c>
      <c r="C509" s="1823" t="s">
        <v>2129</v>
      </c>
      <c r="D509" s="379" t="s">
        <v>3422</v>
      </c>
      <c r="E509" s="1168">
        <v>0</v>
      </c>
      <c r="F509" s="1168">
        <v>335000</v>
      </c>
      <c r="G509" s="1168">
        <v>335000</v>
      </c>
      <c r="H509" s="1168">
        <v>0</v>
      </c>
    </row>
    <row r="510" spans="1:8" ht="12.75">
      <c r="A510" s="1822" t="s">
        <v>2130</v>
      </c>
      <c r="B510" s="379" t="s">
        <v>1918</v>
      </c>
      <c r="C510" s="1823" t="s">
        <v>2131</v>
      </c>
      <c r="D510" s="379" t="s">
        <v>3422</v>
      </c>
      <c r="E510" s="1168">
        <v>0</v>
      </c>
      <c r="F510" s="1168">
        <v>100000</v>
      </c>
      <c r="G510" s="1168">
        <v>100000</v>
      </c>
      <c r="H510" s="1168">
        <v>0</v>
      </c>
    </row>
    <row r="511" spans="1:8" ht="12.75">
      <c r="A511" s="1822" t="s">
        <v>2132</v>
      </c>
      <c r="B511" s="379" t="s">
        <v>2133</v>
      </c>
      <c r="C511" s="1823" t="s">
        <v>2134</v>
      </c>
      <c r="D511" s="379" t="s">
        <v>3422</v>
      </c>
      <c r="E511" s="1168">
        <v>0</v>
      </c>
      <c r="F511" s="1168">
        <v>340000</v>
      </c>
      <c r="G511" s="1168">
        <v>340000</v>
      </c>
      <c r="H511" s="1168">
        <v>0</v>
      </c>
    </row>
    <row r="512" spans="1:8" ht="12.75">
      <c r="A512" s="1822" t="s">
        <v>2135</v>
      </c>
      <c r="B512" s="379" t="s">
        <v>2136</v>
      </c>
      <c r="C512" s="1823" t="s">
        <v>2120</v>
      </c>
      <c r="D512" s="379" t="s">
        <v>3422</v>
      </c>
      <c r="E512" s="1168">
        <v>0</v>
      </c>
      <c r="F512" s="1168">
        <v>224000</v>
      </c>
      <c r="G512" s="1168">
        <v>224000</v>
      </c>
      <c r="H512" s="1168">
        <v>0</v>
      </c>
    </row>
    <row r="513" spans="1:8" ht="12.75">
      <c r="A513" s="1822" t="s">
        <v>2137</v>
      </c>
      <c r="B513" s="379" t="s">
        <v>2138</v>
      </c>
      <c r="C513" s="1823" t="s">
        <v>2139</v>
      </c>
      <c r="D513" s="379" t="s">
        <v>3422</v>
      </c>
      <c r="E513" s="1168">
        <v>0</v>
      </c>
      <c r="F513" s="1168">
        <v>100000</v>
      </c>
      <c r="G513" s="1168">
        <v>100000</v>
      </c>
      <c r="H513" s="1168">
        <v>0</v>
      </c>
    </row>
    <row r="514" spans="1:8" ht="12.75">
      <c r="A514" s="1822" t="s">
        <v>2140</v>
      </c>
      <c r="B514" s="379" t="s">
        <v>2141</v>
      </c>
      <c r="C514" s="1823" t="s">
        <v>2134</v>
      </c>
      <c r="D514" s="379" t="s">
        <v>3422</v>
      </c>
      <c r="E514" s="1168">
        <v>0</v>
      </c>
      <c r="F514" s="1168">
        <v>300000</v>
      </c>
      <c r="G514" s="1168">
        <v>300000</v>
      </c>
      <c r="H514" s="1168">
        <v>0</v>
      </c>
    </row>
    <row r="515" spans="1:8" ht="12.75">
      <c r="A515" s="1822" t="s">
        <v>2142</v>
      </c>
      <c r="B515" s="379" t="s">
        <v>2143</v>
      </c>
      <c r="C515" s="1823" t="s">
        <v>2144</v>
      </c>
      <c r="D515" s="379" t="s">
        <v>3422</v>
      </c>
      <c r="E515" s="1168">
        <v>0</v>
      </c>
      <c r="F515" s="1168">
        <v>1450000</v>
      </c>
      <c r="G515" s="1168">
        <v>1450000</v>
      </c>
      <c r="H515" s="1168">
        <v>0</v>
      </c>
    </row>
    <row r="516" spans="1:8" ht="12.75">
      <c r="A516" s="1822" t="s">
        <v>2145</v>
      </c>
      <c r="B516" s="379" t="s">
        <v>2146</v>
      </c>
      <c r="C516" s="1823" t="s">
        <v>2147</v>
      </c>
      <c r="D516" s="379" t="s">
        <v>3422</v>
      </c>
      <c r="E516" s="1168">
        <v>0</v>
      </c>
      <c r="F516" s="1168">
        <v>504000</v>
      </c>
      <c r="G516" s="1168">
        <v>0</v>
      </c>
      <c r="H516" s="1168">
        <v>504000</v>
      </c>
    </row>
    <row r="517" spans="1:8" ht="12.75">
      <c r="A517" s="1822" t="s">
        <v>2148</v>
      </c>
      <c r="B517" s="379" t="s">
        <v>2149</v>
      </c>
      <c r="C517" s="1823" t="s">
        <v>2150</v>
      </c>
      <c r="D517" s="379" t="s">
        <v>3422</v>
      </c>
      <c r="E517" s="1168">
        <v>0</v>
      </c>
      <c r="F517" s="1168">
        <v>210000</v>
      </c>
      <c r="G517" s="1168">
        <v>0</v>
      </c>
      <c r="H517" s="1168">
        <v>210000</v>
      </c>
    </row>
    <row r="518" spans="1:8" ht="12.75">
      <c r="A518" s="1822" t="s">
        <v>2151</v>
      </c>
      <c r="B518" s="379" t="s">
        <v>2152</v>
      </c>
      <c r="C518" s="1823" t="s">
        <v>2153</v>
      </c>
      <c r="D518" s="379" t="s">
        <v>3422</v>
      </c>
      <c r="E518" s="1168">
        <v>0</v>
      </c>
      <c r="F518" s="1168">
        <v>900000</v>
      </c>
      <c r="G518" s="1168">
        <v>900000</v>
      </c>
      <c r="H518" s="1168">
        <v>0</v>
      </c>
    </row>
    <row r="519" spans="1:8" s="174" customFormat="1" ht="12.75">
      <c r="A519" s="1824" t="s">
        <v>2154</v>
      </c>
      <c r="B519" s="1825"/>
      <c r="C519" s="1825"/>
      <c r="D519" s="1826"/>
      <c r="E519" s="1821">
        <v>0</v>
      </c>
      <c r="F519" s="1821">
        <v>62404000</v>
      </c>
      <c r="G519" s="1821">
        <v>55572183.5</v>
      </c>
      <c r="H519" s="1821">
        <v>6831816.5</v>
      </c>
    </row>
    <row r="520" spans="1:8" s="174" customFormat="1" ht="12.75">
      <c r="A520" s="1824" t="s">
        <v>2155</v>
      </c>
      <c r="B520" s="1825"/>
      <c r="C520" s="1825"/>
      <c r="D520" s="1826"/>
      <c r="E520" s="1821">
        <f>SUM(E421,E519)</f>
        <v>0</v>
      </c>
      <c r="F520" s="1821">
        <f>SUM(F421,F519)</f>
        <v>63904000</v>
      </c>
      <c r="G520" s="1821">
        <f>SUM(G421,G519)</f>
        <v>57067183.5</v>
      </c>
      <c r="H520" s="1821">
        <f>SUM(H421,H519)</f>
        <v>6836816.5</v>
      </c>
    </row>
    <row r="521" spans="1:8" ht="12.75">
      <c r="A521" s="1822" t="s">
        <v>2156</v>
      </c>
      <c r="B521" s="379" t="s">
        <v>2157</v>
      </c>
      <c r="C521" s="1823" t="s">
        <v>3190</v>
      </c>
      <c r="D521" s="379" t="s">
        <v>3422</v>
      </c>
      <c r="E521" s="1168">
        <v>0</v>
      </c>
      <c r="F521" s="1168">
        <v>254000</v>
      </c>
      <c r="G521" s="1168">
        <v>253803</v>
      </c>
      <c r="H521" s="1168">
        <v>197</v>
      </c>
    </row>
    <row r="522" spans="1:8" ht="12.75">
      <c r="A522" s="1822" t="s">
        <v>2158</v>
      </c>
      <c r="B522" s="379" t="s">
        <v>2159</v>
      </c>
      <c r="C522" s="1823" t="s">
        <v>3190</v>
      </c>
      <c r="D522" s="379" t="s">
        <v>3422</v>
      </c>
      <c r="E522" s="1168">
        <v>0</v>
      </c>
      <c r="F522" s="1168">
        <v>513000</v>
      </c>
      <c r="G522" s="1168">
        <v>511326.5</v>
      </c>
      <c r="H522" s="1168">
        <v>1673</v>
      </c>
    </row>
    <row r="523" spans="1:8" ht="12.75">
      <c r="A523" s="1822" t="s">
        <v>2160</v>
      </c>
      <c r="B523" s="379" t="s">
        <v>2161</v>
      </c>
      <c r="C523" s="1823" t="s">
        <v>3190</v>
      </c>
      <c r="D523" s="379" t="s">
        <v>3422</v>
      </c>
      <c r="E523" s="1168">
        <v>0</v>
      </c>
      <c r="F523" s="1168">
        <v>8000000</v>
      </c>
      <c r="G523" s="1168">
        <v>7920283</v>
      </c>
      <c r="H523" s="1168">
        <v>79717</v>
      </c>
    </row>
    <row r="524" spans="1:8" ht="12.75">
      <c r="A524" s="1822" t="s">
        <v>2162</v>
      </c>
      <c r="B524" s="379" t="s">
        <v>2163</v>
      </c>
      <c r="C524" s="1823" t="s">
        <v>3190</v>
      </c>
      <c r="D524" s="379" t="s">
        <v>3422</v>
      </c>
      <c r="E524" s="1168">
        <v>0</v>
      </c>
      <c r="F524" s="1168">
        <v>728000</v>
      </c>
      <c r="G524" s="1168">
        <v>727008</v>
      </c>
      <c r="H524" s="1168">
        <v>992</v>
      </c>
    </row>
    <row r="525" spans="1:8" ht="12.75">
      <c r="A525" s="1822" t="s">
        <v>2162</v>
      </c>
      <c r="B525" s="379" t="s">
        <v>2163</v>
      </c>
      <c r="C525" s="1823" t="s">
        <v>3190</v>
      </c>
      <c r="D525" s="379" t="s">
        <v>3423</v>
      </c>
      <c r="E525" s="1168">
        <v>0</v>
      </c>
      <c r="F525" s="1168">
        <v>201000</v>
      </c>
      <c r="G525" s="1168">
        <v>200308</v>
      </c>
      <c r="H525" s="1168">
        <v>692</v>
      </c>
    </row>
    <row r="526" spans="1:8" ht="12.75">
      <c r="A526" s="1822" t="s">
        <v>2164</v>
      </c>
      <c r="B526" s="379" t="s">
        <v>2165</v>
      </c>
      <c r="C526" s="1823" t="s">
        <v>3190</v>
      </c>
      <c r="D526" s="379" t="s">
        <v>3422</v>
      </c>
      <c r="E526" s="1168">
        <v>0</v>
      </c>
      <c r="F526" s="1168">
        <v>1239000</v>
      </c>
      <c r="G526" s="1168">
        <v>1237732</v>
      </c>
      <c r="H526" s="1168">
        <v>1268</v>
      </c>
    </row>
    <row r="527" spans="1:8" ht="12.75">
      <c r="A527" s="1822" t="s">
        <v>2164</v>
      </c>
      <c r="B527" s="379" t="s">
        <v>2165</v>
      </c>
      <c r="C527" s="1823" t="s">
        <v>3190</v>
      </c>
      <c r="D527" s="379" t="s">
        <v>3423</v>
      </c>
      <c r="E527" s="1168">
        <v>0</v>
      </c>
      <c r="F527" s="1168">
        <v>51000</v>
      </c>
      <c r="G527" s="1168">
        <v>50788</v>
      </c>
      <c r="H527" s="1168">
        <v>212</v>
      </c>
    </row>
    <row r="528" spans="1:8" ht="12.75">
      <c r="A528" s="1822" t="s">
        <v>2166</v>
      </c>
      <c r="B528" s="379" t="s">
        <v>2167</v>
      </c>
      <c r="C528" s="1823" t="s">
        <v>3190</v>
      </c>
      <c r="D528" s="379" t="s">
        <v>3423</v>
      </c>
      <c r="E528" s="1168">
        <v>0</v>
      </c>
      <c r="F528" s="1168">
        <v>1459000</v>
      </c>
      <c r="G528" s="1168">
        <v>1422615.25</v>
      </c>
      <c r="H528" s="1168">
        <v>36383</v>
      </c>
    </row>
    <row r="529" spans="1:8" ht="12.75">
      <c r="A529" s="1822" t="s">
        <v>2168</v>
      </c>
      <c r="B529" s="379" t="s">
        <v>1425</v>
      </c>
      <c r="C529" s="1823" t="s">
        <v>2169</v>
      </c>
      <c r="D529" s="379" t="s">
        <v>3422</v>
      </c>
      <c r="E529" s="1168">
        <v>4103000</v>
      </c>
      <c r="F529" s="1168">
        <v>2093000</v>
      </c>
      <c r="G529" s="1168">
        <v>2092611</v>
      </c>
      <c r="H529" s="1168">
        <v>0</v>
      </c>
    </row>
    <row r="530" spans="1:8" ht="12.75">
      <c r="A530" s="1822" t="s">
        <v>2170</v>
      </c>
      <c r="B530" s="379" t="s">
        <v>1425</v>
      </c>
      <c r="C530" s="1823" t="s">
        <v>2532</v>
      </c>
      <c r="D530" s="379" t="s">
        <v>3422</v>
      </c>
      <c r="E530" s="1168">
        <v>1271000</v>
      </c>
      <c r="F530" s="1168">
        <v>970000</v>
      </c>
      <c r="G530" s="1168">
        <v>969795</v>
      </c>
      <c r="H530" s="1168">
        <v>0</v>
      </c>
    </row>
    <row r="531" spans="1:8" ht="12.75">
      <c r="A531" s="1822" t="s">
        <v>2170</v>
      </c>
      <c r="B531" s="379" t="s">
        <v>1425</v>
      </c>
      <c r="C531" s="1823" t="s">
        <v>2532</v>
      </c>
      <c r="D531" s="379" t="s">
        <v>3423</v>
      </c>
      <c r="E531" s="1168">
        <v>612000</v>
      </c>
      <c r="F531" s="1168">
        <v>0</v>
      </c>
      <c r="G531" s="1168">
        <v>0</v>
      </c>
      <c r="H531" s="1168">
        <v>0</v>
      </c>
    </row>
    <row r="532" spans="1:8" ht="12.75">
      <c r="A532" s="1822">
        <v>2141114003</v>
      </c>
      <c r="B532" s="379" t="s">
        <v>2171</v>
      </c>
      <c r="C532" s="1823" t="s">
        <v>2541</v>
      </c>
      <c r="D532" s="379" t="s">
        <v>3422</v>
      </c>
      <c r="E532" s="1168">
        <v>1313000</v>
      </c>
      <c r="F532" s="1168">
        <v>0</v>
      </c>
      <c r="G532" s="1168">
        <v>0</v>
      </c>
      <c r="H532" s="1168">
        <v>0</v>
      </c>
    </row>
    <row r="533" spans="1:8" ht="12.75">
      <c r="A533" s="1822">
        <v>2141114004</v>
      </c>
      <c r="B533" s="379" t="s">
        <v>2172</v>
      </c>
      <c r="C533" s="1823" t="s">
        <v>2643</v>
      </c>
      <c r="D533" s="379" t="s">
        <v>3422</v>
      </c>
      <c r="E533" s="1168">
        <v>530000</v>
      </c>
      <c r="F533" s="1168">
        <v>0</v>
      </c>
      <c r="G533" s="1168">
        <v>0</v>
      </c>
      <c r="H533" s="1168">
        <v>0</v>
      </c>
    </row>
    <row r="534" spans="1:8" ht="12.75">
      <c r="A534" s="1822">
        <v>2141114004</v>
      </c>
      <c r="B534" s="379" t="s">
        <v>2172</v>
      </c>
      <c r="C534" s="1823" t="s">
        <v>2643</v>
      </c>
      <c r="D534" s="379" t="s">
        <v>3423</v>
      </c>
      <c r="E534" s="1168">
        <v>550000</v>
      </c>
      <c r="F534" s="1168">
        <v>0</v>
      </c>
      <c r="G534" s="1168">
        <v>0</v>
      </c>
      <c r="H534" s="1168">
        <v>0</v>
      </c>
    </row>
    <row r="535" spans="1:8" ht="12.75">
      <c r="A535" s="1822">
        <v>2141114005</v>
      </c>
      <c r="B535" s="379" t="s">
        <v>2173</v>
      </c>
      <c r="C535" s="1823" t="s">
        <v>2643</v>
      </c>
      <c r="D535" s="379" t="s">
        <v>3422</v>
      </c>
      <c r="E535" s="1168">
        <v>300000</v>
      </c>
      <c r="F535" s="1168">
        <v>0</v>
      </c>
      <c r="G535" s="1168">
        <v>0</v>
      </c>
      <c r="H535" s="1168">
        <v>0</v>
      </c>
    </row>
    <row r="536" spans="1:8" ht="12.75">
      <c r="A536" s="1822" t="s">
        <v>2174</v>
      </c>
      <c r="B536" s="379" t="s">
        <v>2175</v>
      </c>
      <c r="C536" s="1823" t="s">
        <v>2176</v>
      </c>
      <c r="D536" s="379" t="s">
        <v>3422</v>
      </c>
      <c r="E536" s="1168">
        <v>136000</v>
      </c>
      <c r="F536" s="1168">
        <v>133000</v>
      </c>
      <c r="G536" s="1168">
        <v>132340</v>
      </c>
      <c r="H536" s="1168">
        <v>0</v>
      </c>
    </row>
    <row r="537" spans="1:8" ht="12.75">
      <c r="A537" s="1822" t="s">
        <v>2177</v>
      </c>
      <c r="B537" s="379" t="s">
        <v>2178</v>
      </c>
      <c r="C537" s="1823" t="s">
        <v>2176</v>
      </c>
      <c r="D537" s="379" t="s">
        <v>3422</v>
      </c>
      <c r="E537" s="1168">
        <v>195000</v>
      </c>
      <c r="F537" s="1168">
        <v>164000</v>
      </c>
      <c r="G537" s="1168">
        <v>163720.2</v>
      </c>
      <c r="H537" s="1168">
        <v>0</v>
      </c>
    </row>
    <row r="538" spans="1:8" ht="12.75">
      <c r="A538" s="1822" t="s">
        <v>2179</v>
      </c>
      <c r="B538" s="379" t="s">
        <v>2180</v>
      </c>
      <c r="C538" s="1823" t="s">
        <v>2176</v>
      </c>
      <c r="D538" s="379" t="s">
        <v>3422</v>
      </c>
      <c r="E538" s="1168">
        <v>50000</v>
      </c>
      <c r="F538" s="1168">
        <v>70000</v>
      </c>
      <c r="G538" s="1168">
        <v>69514</v>
      </c>
      <c r="H538" s="1168">
        <v>0</v>
      </c>
    </row>
    <row r="539" spans="1:8" ht="12.75">
      <c r="A539" s="1822" t="s">
        <v>2181</v>
      </c>
      <c r="B539" s="379" t="s">
        <v>2182</v>
      </c>
      <c r="C539" s="1823" t="s">
        <v>2643</v>
      </c>
      <c r="D539" s="379" t="s">
        <v>3422</v>
      </c>
      <c r="E539" s="1168">
        <v>1072000</v>
      </c>
      <c r="F539" s="1168">
        <v>248000</v>
      </c>
      <c r="G539" s="1168">
        <v>247678.51</v>
      </c>
      <c r="H539" s="1168">
        <v>321.49</v>
      </c>
    </row>
    <row r="540" spans="1:8" ht="12.75">
      <c r="A540" s="1822" t="s">
        <v>2183</v>
      </c>
      <c r="B540" s="379" t="s">
        <v>1425</v>
      </c>
      <c r="C540" s="1823" t="s">
        <v>2184</v>
      </c>
      <c r="D540" s="379" t="s">
        <v>3422</v>
      </c>
      <c r="E540" s="1168">
        <v>1053000</v>
      </c>
      <c r="F540" s="1168">
        <v>1053000</v>
      </c>
      <c r="G540" s="1168">
        <v>1052359.72</v>
      </c>
      <c r="H540" s="1168">
        <v>640</v>
      </c>
    </row>
    <row r="541" spans="1:8" ht="12.75">
      <c r="A541" s="1822" t="s">
        <v>2183</v>
      </c>
      <c r="B541" s="379" t="s">
        <v>1425</v>
      </c>
      <c r="C541" s="1823" t="s">
        <v>2184</v>
      </c>
      <c r="D541" s="379" t="s">
        <v>3422</v>
      </c>
      <c r="E541" s="1168">
        <v>550000</v>
      </c>
      <c r="F541" s="1168">
        <v>0</v>
      </c>
      <c r="G541" s="1168">
        <v>0</v>
      </c>
      <c r="H541" s="1168">
        <v>0</v>
      </c>
    </row>
    <row r="542" spans="1:8" ht="12.75">
      <c r="A542" s="1822">
        <v>2141114011</v>
      </c>
      <c r="B542" s="379" t="s">
        <v>2178</v>
      </c>
      <c r="C542" s="1823" t="s">
        <v>2561</v>
      </c>
      <c r="D542" s="379" t="s">
        <v>3422</v>
      </c>
      <c r="E542" s="1168">
        <v>960000</v>
      </c>
      <c r="F542" s="1168">
        <v>0</v>
      </c>
      <c r="G542" s="1168">
        <v>0</v>
      </c>
      <c r="H542" s="1168">
        <v>0</v>
      </c>
    </row>
    <row r="543" spans="1:8" ht="12.75">
      <c r="A543" s="1822" t="s">
        <v>2185</v>
      </c>
      <c r="B543" s="379" t="s">
        <v>2186</v>
      </c>
      <c r="C543" s="1823" t="s">
        <v>2561</v>
      </c>
      <c r="D543" s="379" t="s">
        <v>3422</v>
      </c>
      <c r="E543" s="1168">
        <v>50000</v>
      </c>
      <c r="F543" s="1168">
        <v>0</v>
      </c>
      <c r="G543" s="1168">
        <v>0</v>
      </c>
      <c r="H543" s="1168">
        <v>0</v>
      </c>
    </row>
    <row r="544" spans="1:8" ht="12.75">
      <c r="A544" s="1822">
        <v>2141114013</v>
      </c>
      <c r="B544" s="379" t="s">
        <v>2187</v>
      </c>
      <c r="C544" s="1823" t="s">
        <v>2643</v>
      </c>
      <c r="D544" s="379" t="s">
        <v>3422</v>
      </c>
      <c r="E544" s="1168">
        <v>814000</v>
      </c>
      <c r="F544" s="1168">
        <v>80000</v>
      </c>
      <c r="G544" s="1168">
        <v>79332.6</v>
      </c>
      <c r="H544" s="1168">
        <v>667.4</v>
      </c>
    </row>
    <row r="545" spans="1:8" ht="12.75">
      <c r="A545" s="1822" t="s">
        <v>2188</v>
      </c>
      <c r="B545" s="379" t="s">
        <v>2189</v>
      </c>
      <c r="C545" s="1823" t="s">
        <v>2561</v>
      </c>
      <c r="D545" s="379" t="s">
        <v>3422</v>
      </c>
      <c r="E545" s="1168">
        <v>136000</v>
      </c>
      <c r="F545" s="1168">
        <v>118000</v>
      </c>
      <c r="G545" s="1168">
        <v>117691</v>
      </c>
      <c r="H545" s="1168">
        <v>309</v>
      </c>
    </row>
    <row r="546" spans="1:8" ht="12.75">
      <c r="A546" s="1822" t="s">
        <v>2190</v>
      </c>
      <c r="B546" s="379" t="s">
        <v>2191</v>
      </c>
      <c r="C546" s="1823" t="s">
        <v>2561</v>
      </c>
      <c r="D546" s="379" t="s">
        <v>3422</v>
      </c>
      <c r="E546" s="1168">
        <v>214000</v>
      </c>
      <c r="F546" s="1168">
        <v>198000</v>
      </c>
      <c r="G546" s="1168">
        <v>197004.5</v>
      </c>
      <c r="H546" s="1168">
        <v>995.5</v>
      </c>
    </row>
    <row r="547" spans="1:8" ht="12.75">
      <c r="A547" s="1822">
        <v>2141114016</v>
      </c>
      <c r="B547" s="379" t="s">
        <v>2187</v>
      </c>
      <c r="C547" s="1823" t="s">
        <v>2643</v>
      </c>
      <c r="D547" s="379" t="s">
        <v>3422</v>
      </c>
      <c r="E547" s="1168">
        <v>600000</v>
      </c>
      <c r="F547" s="1168">
        <v>0</v>
      </c>
      <c r="G547" s="1168">
        <v>0</v>
      </c>
      <c r="H547" s="1168">
        <v>0</v>
      </c>
    </row>
    <row r="548" spans="1:8" ht="12.75">
      <c r="A548" s="1822" t="s">
        <v>2192</v>
      </c>
      <c r="B548" s="379" t="s">
        <v>1425</v>
      </c>
      <c r="C548" s="1823" t="s">
        <v>2193</v>
      </c>
      <c r="D548" s="379" t="s">
        <v>3422</v>
      </c>
      <c r="E548" s="1168">
        <v>4063000</v>
      </c>
      <c r="F548" s="1168">
        <v>509000</v>
      </c>
      <c r="G548" s="1168">
        <v>507696.6</v>
      </c>
      <c r="H548" s="1168">
        <v>1303</v>
      </c>
    </row>
    <row r="549" spans="1:8" ht="12.75">
      <c r="A549" s="1822" t="s">
        <v>2194</v>
      </c>
      <c r="B549" s="379" t="s">
        <v>2195</v>
      </c>
      <c r="C549" s="1823" t="s">
        <v>3190</v>
      </c>
      <c r="D549" s="379" t="s">
        <v>3422</v>
      </c>
      <c r="E549" s="1168">
        <v>480000</v>
      </c>
      <c r="F549" s="1168">
        <v>446000</v>
      </c>
      <c r="G549" s="1168">
        <v>445568.2</v>
      </c>
      <c r="H549" s="1168">
        <v>431</v>
      </c>
    </row>
    <row r="550" spans="1:8" ht="12.75">
      <c r="A550" s="1822" t="s">
        <v>2196</v>
      </c>
      <c r="B550" s="379" t="s">
        <v>2197</v>
      </c>
      <c r="C550" s="1823" t="s">
        <v>3190</v>
      </c>
      <c r="D550" s="379" t="s">
        <v>3423</v>
      </c>
      <c r="E550" s="1168">
        <v>1107000</v>
      </c>
      <c r="F550" s="1168">
        <v>980000</v>
      </c>
      <c r="G550" s="1168">
        <v>979868.7</v>
      </c>
      <c r="H550" s="1168">
        <v>131</v>
      </c>
    </row>
    <row r="551" spans="1:8" ht="12.75">
      <c r="A551" s="1822" t="s">
        <v>2198</v>
      </c>
      <c r="B551" s="379" t="s">
        <v>2199</v>
      </c>
      <c r="C551" s="1823" t="s">
        <v>3190</v>
      </c>
      <c r="D551" s="379" t="s">
        <v>3422</v>
      </c>
      <c r="E551" s="1168">
        <v>120000</v>
      </c>
      <c r="F551" s="1168">
        <v>115000</v>
      </c>
      <c r="G551" s="1168">
        <v>114954</v>
      </c>
      <c r="H551" s="1168">
        <v>46</v>
      </c>
    </row>
    <row r="552" spans="1:8" ht="12.75">
      <c r="A552" s="1822" t="s">
        <v>2200</v>
      </c>
      <c r="B552" s="379" t="s">
        <v>2201</v>
      </c>
      <c r="C552" s="1823" t="s">
        <v>3190</v>
      </c>
      <c r="D552" s="379" t="s">
        <v>3422</v>
      </c>
      <c r="E552" s="1168">
        <v>100000</v>
      </c>
      <c r="F552" s="1168">
        <v>96000</v>
      </c>
      <c r="G552" s="1168">
        <v>95176.2</v>
      </c>
      <c r="H552" s="1168">
        <v>823</v>
      </c>
    </row>
    <row r="553" spans="1:8" ht="12.75">
      <c r="A553" s="1822" t="s">
        <v>2202</v>
      </c>
      <c r="B553" s="379" t="s">
        <v>2178</v>
      </c>
      <c r="C553" s="1823" t="s">
        <v>3190</v>
      </c>
      <c r="D553" s="379" t="s">
        <v>3422</v>
      </c>
      <c r="E553" s="1168">
        <v>520000</v>
      </c>
      <c r="F553" s="1168">
        <v>484000</v>
      </c>
      <c r="G553" s="1168">
        <v>484000</v>
      </c>
      <c r="H553" s="1168">
        <v>0</v>
      </c>
    </row>
    <row r="554" spans="1:8" ht="12.75">
      <c r="A554" s="1822" t="s">
        <v>2203</v>
      </c>
      <c r="B554" s="379" t="s">
        <v>2187</v>
      </c>
      <c r="C554" s="1823" t="s">
        <v>2643</v>
      </c>
      <c r="D554" s="379" t="s">
        <v>3422</v>
      </c>
      <c r="E554" s="1168">
        <v>1800000</v>
      </c>
      <c r="F554" s="1168">
        <v>1325000</v>
      </c>
      <c r="G554" s="1168">
        <v>1293779.5</v>
      </c>
      <c r="H554" s="1168">
        <v>31220.5</v>
      </c>
    </row>
    <row r="555" spans="1:8" ht="12.75">
      <c r="A555" s="1822" t="s">
        <v>2203</v>
      </c>
      <c r="B555" s="379" t="s">
        <v>2187</v>
      </c>
      <c r="C555" s="1823" t="s">
        <v>2643</v>
      </c>
      <c r="D555" s="379" t="s">
        <v>3423</v>
      </c>
      <c r="E555" s="1168">
        <v>0</v>
      </c>
      <c r="F555" s="1168">
        <v>475000</v>
      </c>
      <c r="G555" s="1168">
        <v>312312.82</v>
      </c>
      <c r="H555" s="1168">
        <v>162687.18</v>
      </c>
    </row>
    <row r="556" spans="1:8" ht="12.75">
      <c r="A556" s="1822" t="s">
        <v>2204</v>
      </c>
      <c r="B556" s="379" t="s">
        <v>2191</v>
      </c>
      <c r="C556" s="1823" t="s">
        <v>3190</v>
      </c>
      <c r="D556" s="379" t="s">
        <v>3422</v>
      </c>
      <c r="E556" s="1168">
        <v>428000</v>
      </c>
      <c r="F556" s="1168">
        <v>424000</v>
      </c>
      <c r="G556" s="1168">
        <v>423997</v>
      </c>
      <c r="H556" s="1168">
        <v>3</v>
      </c>
    </row>
    <row r="557" spans="1:8" ht="12.75">
      <c r="A557" s="1822" t="s">
        <v>2205</v>
      </c>
      <c r="B557" s="379" t="s">
        <v>2189</v>
      </c>
      <c r="C557" s="1823" t="s">
        <v>3190</v>
      </c>
      <c r="D557" s="379" t="s">
        <v>3422</v>
      </c>
      <c r="E557" s="1168">
        <v>137000</v>
      </c>
      <c r="F557" s="1168">
        <v>116000</v>
      </c>
      <c r="G557" s="1168">
        <v>116000</v>
      </c>
      <c r="H557" s="1168">
        <v>0</v>
      </c>
    </row>
    <row r="558" spans="1:8" ht="12.75">
      <c r="A558" s="1822">
        <v>2141114026</v>
      </c>
      <c r="B558" s="379" t="s">
        <v>2206</v>
      </c>
      <c r="C558" s="1823" t="s">
        <v>2643</v>
      </c>
      <c r="D558" s="379" t="s">
        <v>3423</v>
      </c>
      <c r="E558" s="1168">
        <v>1550000</v>
      </c>
      <c r="F558" s="1168">
        <v>0</v>
      </c>
      <c r="G558" s="1168">
        <v>0</v>
      </c>
      <c r="H558" s="1168">
        <v>0</v>
      </c>
    </row>
    <row r="559" spans="1:8" ht="12.75">
      <c r="A559" s="1822" t="s">
        <v>2207</v>
      </c>
      <c r="B559" s="379" t="s">
        <v>2208</v>
      </c>
      <c r="C559" s="1823" t="s">
        <v>3190</v>
      </c>
      <c r="D559" s="379" t="s">
        <v>3422</v>
      </c>
      <c r="E559" s="1168">
        <v>600000</v>
      </c>
      <c r="F559" s="1168">
        <v>579000</v>
      </c>
      <c r="G559" s="1168">
        <v>578954</v>
      </c>
      <c r="H559" s="1168">
        <v>46</v>
      </c>
    </row>
    <row r="560" spans="1:8" ht="12.75">
      <c r="A560" s="1822" t="s">
        <v>2209</v>
      </c>
      <c r="B560" s="379" t="s">
        <v>2210</v>
      </c>
      <c r="C560" s="1823" t="s">
        <v>3190</v>
      </c>
      <c r="D560" s="379" t="s">
        <v>3422</v>
      </c>
      <c r="E560" s="1168">
        <v>1400000</v>
      </c>
      <c r="F560" s="1168">
        <v>1131000</v>
      </c>
      <c r="G560" s="1168">
        <v>1130547.6</v>
      </c>
      <c r="H560" s="1168">
        <v>452</v>
      </c>
    </row>
    <row r="561" spans="1:8" ht="12.75">
      <c r="A561" s="1822">
        <v>2141114029</v>
      </c>
      <c r="B561" s="379" t="s">
        <v>2211</v>
      </c>
      <c r="C561" s="1823" t="s">
        <v>2643</v>
      </c>
      <c r="D561" s="379" t="s">
        <v>3422</v>
      </c>
      <c r="E561" s="1168">
        <v>790000</v>
      </c>
      <c r="F561" s="1168">
        <v>0</v>
      </c>
      <c r="G561" s="1168">
        <v>0</v>
      </c>
      <c r="H561" s="1168">
        <v>0</v>
      </c>
    </row>
    <row r="562" spans="1:8" ht="12.75">
      <c r="A562" s="1822" t="s">
        <v>2212</v>
      </c>
      <c r="B562" s="379" t="s">
        <v>2213</v>
      </c>
      <c r="C562" s="1823" t="s">
        <v>3190</v>
      </c>
      <c r="D562" s="379" t="s">
        <v>3422</v>
      </c>
      <c r="E562" s="1168">
        <v>5000000</v>
      </c>
      <c r="F562" s="1168">
        <v>5000000</v>
      </c>
      <c r="G562" s="1168">
        <v>0</v>
      </c>
      <c r="H562" s="1168">
        <v>5000000</v>
      </c>
    </row>
    <row r="563" spans="1:8" ht="12.75">
      <c r="A563" s="1822" t="s">
        <v>2214</v>
      </c>
      <c r="B563" s="379" t="s">
        <v>2159</v>
      </c>
      <c r="C563" s="1823" t="s">
        <v>3190</v>
      </c>
      <c r="D563" s="379" t="s">
        <v>3422</v>
      </c>
      <c r="E563" s="1168">
        <v>9450000</v>
      </c>
      <c r="F563" s="1168">
        <v>9450000</v>
      </c>
      <c r="G563" s="1168">
        <v>9437733.8</v>
      </c>
      <c r="H563" s="1168">
        <v>12266</v>
      </c>
    </row>
    <row r="564" spans="1:8" ht="12.75">
      <c r="A564" s="1822" t="s">
        <v>2215</v>
      </c>
      <c r="B564" s="379" t="s">
        <v>2216</v>
      </c>
      <c r="C564" s="1823" t="s">
        <v>2169</v>
      </c>
      <c r="D564" s="379" t="s">
        <v>3422</v>
      </c>
      <c r="E564" s="1168">
        <v>444000</v>
      </c>
      <c r="F564" s="1168">
        <v>264000</v>
      </c>
      <c r="G564" s="1168">
        <v>263942</v>
      </c>
      <c r="H564" s="1168">
        <v>0</v>
      </c>
    </row>
    <row r="565" spans="1:8" ht="12.75">
      <c r="A565" s="1822" t="s">
        <v>2217</v>
      </c>
      <c r="B565" s="379" t="s">
        <v>2218</v>
      </c>
      <c r="C565" s="1823" t="s">
        <v>2532</v>
      </c>
      <c r="D565" s="379" t="s">
        <v>3422</v>
      </c>
      <c r="E565" s="1168">
        <v>180000</v>
      </c>
      <c r="F565" s="1168">
        <v>180000</v>
      </c>
      <c r="G565" s="1168">
        <v>179832</v>
      </c>
      <c r="H565" s="1168">
        <v>0</v>
      </c>
    </row>
    <row r="566" spans="1:8" ht="12.75">
      <c r="A566" s="1822">
        <v>2141114034</v>
      </c>
      <c r="B566" s="379" t="s">
        <v>2219</v>
      </c>
      <c r="C566" s="1823" t="s">
        <v>2541</v>
      </c>
      <c r="D566" s="379" t="s">
        <v>3422</v>
      </c>
      <c r="E566" s="1168">
        <v>180000</v>
      </c>
      <c r="F566" s="1168">
        <v>0</v>
      </c>
      <c r="G566" s="1168">
        <v>0</v>
      </c>
      <c r="H566" s="1168">
        <v>0</v>
      </c>
    </row>
    <row r="567" spans="1:8" ht="12.75">
      <c r="A567" s="1822" t="s">
        <v>2220</v>
      </c>
      <c r="B567" s="379" t="s">
        <v>2221</v>
      </c>
      <c r="C567" s="1823" t="s">
        <v>2643</v>
      </c>
      <c r="D567" s="379" t="s">
        <v>3422</v>
      </c>
      <c r="E567" s="1168">
        <v>172000</v>
      </c>
      <c r="F567" s="1168">
        <v>157000</v>
      </c>
      <c r="G567" s="1168">
        <v>156598</v>
      </c>
      <c r="H567" s="1168">
        <v>402</v>
      </c>
    </row>
    <row r="568" spans="1:8" ht="12.75">
      <c r="A568" s="1822">
        <v>2141114036</v>
      </c>
      <c r="B568" s="379" t="s">
        <v>2219</v>
      </c>
      <c r="C568" s="1823" t="s">
        <v>2643</v>
      </c>
      <c r="D568" s="379" t="s">
        <v>3422</v>
      </c>
      <c r="E568" s="1168">
        <v>80000</v>
      </c>
      <c r="F568" s="1168">
        <v>0</v>
      </c>
      <c r="G568" s="1168">
        <v>0</v>
      </c>
      <c r="H568" s="1168">
        <v>0</v>
      </c>
    </row>
    <row r="569" spans="1:8" ht="12.75">
      <c r="A569" s="1822" t="s">
        <v>2222</v>
      </c>
      <c r="B569" s="379" t="s">
        <v>2219</v>
      </c>
      <c r="C569" s="1823" t="s">
        <v>2184</v>
      </c>
      <c r="D569" s="379" t="s">
        <v>3422</v>
      </c>
      <c r="E569" s="1168">
        <v>344000</v>
      </c>
      <c r="F569" s="1168">
        <v>76000</v>
      </c>
      <c r="G569" s="1168">
        <v>75644.9</v>
      </c>
      <c r="H569" s="1168">
        <v>355</v>
      </c>
    </row>
    <row r="570" spans="1:8" ht="12.75">
      <c r="A570" s="1822" t="s">
        <v>2223</v>
      </c>
      <c r="B570" s="379" t="s">
        <v>2224</v>
      </c>
      <c r="C570" s="1823" t="s">
        <v>2643</v>
      </c>
      <c r="D570" s="379" t="s">
        <v>3422</v>
      </c>
      <c r="E570" s="1168">
        <v>344000</v>
      </c>
      <c r="F570" s="1168">
        <v>462000</v>
      </c>
      <c r="G570" s="1168">
        <v>461892.5</v>
      </c>
      <c r="H570" s="1168">
        <v>107.5</v>
      </c>
    </row>
    <row r="571" spans="1:8" ht="12.75">
      <c r="A571" s="1822" t="s">
        <v>2225</v>
      </c>
      <c r="B571" s="379" t="s">
        <v>2226</v>
      </c>
      <c r="C571" s="1823" t="s">
        <v>2643</v>
      </c>
      <c r="D571" s="379" t="s">
        <v>3422</v>
      </c>
      <c r="E571" s="1168">
        <v>264000</v>
      </c>
      <c r="F571" s="1168">
        <v>410000</v>
      </c>
      <c r="G571" s="1168">
        <v>409290.21</v>
      </c>
      <c r="H571" s="1168">
        <v>709.79</v>
      </c>
    </row>
    <row r="572" spans="1:8" ht="12.75">
      <c r="A572" s="1822" t="s">
        <v>2227</v>
      </c>
      <c r="B572" s="379" t="s">
        <v>2219</v>
      </c>
      <c r="C572" s="1823" t="s">
        <v>2561</v>
      </c>
      <c r="D572" s="379" t="s">
        <v>3422</v>
      </c>
      <c r="E572" s="1168">
        <v>80000</v>
      </c>
      <c r="F572" s="1168">
        <v>56000</v>
      </c>
      <c r="G572" s="1168">
        <v>55909</v>
      </c>
      <c r="H572" s="1168">
        <v>91</v>
      </c>
    </row>
    <row r="573" spans="1:8" ht="12.75">
      <c r="A573" s="1822" t="s">
        <v>2228</v>
      </c>
      <c r="B573" s="379" t="s">
        <v>2229</v>
      </c>
      <c r="C573" s="1823" t="s">
        <v>2561</v>
      </c>
      <c r="D573" s="379" t="s">
        <v>3422</v>
      </c>
      <c r="E573" s="1168">
        <v>100000</v>
      </c>
      <c r="F573" s="1168">
        <v>80000</v>
      </c>
      <c r="G573" s="1168">
        <v>79687</v>
      </c>
      <c r="H573" s="1168">
        <v>313</v>
      </c>
    </row>
    <row r="574" spans="1:8" ht="12.75">
      <c r="A574" s="1822">
        <v>2141114042</v>
      </c>
      <c r="B574" s="379" t="s">
        <v>2230</v>
      </c>
      <c r="C574" s="1823" t="s">
        <v>2643</v>
      </c>
      <c r="D574" s="379" t="s">
        <v>3422</v>
      </c>
      <c r="E574" s="1168">
        <v>602000</v>
      </c>
      <c r="F574" s="1168">
        <v>0</v>
      </c>
      <c r="G574" s="1168">
        <v>0</v>
      </c>
      <c r="H574" s="1168">
        <v>0</v>
      </c>
    </row>
    <row r="575" spans="1:8" ht="12.75">
      <c r="A575" s="1822">
        <v>2141114043</v>
      </c>
      <c r="B575" s="379" t="s">
        <v>2229</v>
      </c>
      <c r="C575" s="1823" t="s">
        <v>2643</v>
      </c>
      <c r="D575" s="379" t="s">
        <v>3422</v>
      </c>
      <c r="E575" s="1168">
        <v>100000</v>
      </c>
      <c r="F575" s="1168">
        <v>0</v>
      </c>
      <c r="G575" s="1168">
        <v>0</v>
      </c>
      <c r="H575" s="1168">
        <v>0</v>
      </c>
    </row>
    <row r="576" spans="1:8" ht="12.75">
      <c r="A576" s="1822">
        <v>2141114044</v>
      </c>
      <c r="B576" s="379" t="s">
        <v>2231</v>
      </c>
      <c r="C576" s="1823" t="s">
        <v>2643</v>
      </c>
      <c r="D576" s="379" t="s">
        <v>3422</v>
      </c>
      <c r="E576" s="1168">
        <v>160000</v>
      </c>
      <c r="F576" s="1168">
        <v>0</v>
      </c>
      <c r="G576" s="1168">
        <v>0</v>
      </c>
      <c r="H576" s="1168">
        <v>0</v>
      </c>
    </row>
    <row r="577" spans="1:8" ht="12.75">
      <c r="A577" s="1822" t="s">
        <v>2232</v>
      </c>
      <c r="B577" s="379" t="s">
        <v>2233</v>
      </c>
      <c r="C577" s="1823" t="s">
        <v>2643</v>
      </c>
      <c r="D577" s="379" t="s">
        <v>3423</v>
      </c>
      <c r="E577" s="1168">
        <v>527000</v>
      </c>
      <c r="F577" s="1168">
        <v>364000</v>
      </c>
      <c r="G577" s="1168">
        <v>363640.2</v>
      </c>
      <c r="H577" s="1168">
        <v>359.8</v>
      </c>
    </row>
    <row r="578" spans="1:8" ht="12.75">
      <c r="A578" s="1822">
        <v>2141114046</v>
      </c>
      <c r="B578" s="379" t="s">
        <v>2234</v>
      </c>
      <c r="C578" s="1823" t="s">
        <v>2235</v>
      </c>
      <c r="D578" s="379" t="s">
        <v>3422</v>
      </c>
      <c r="E578" s="1168">
        <v>1963000</v>
      </c>
      <c r="F578" s="1168">
        <v>0</v>
      </c>
      <c r="G578" s="1168">
        <v>0</v>
      </c>
      <c r="H578" s="1168">
        <v>0</v>
      </c>
    </row>
    <row r="579" spans="1:8" ht="12.75">
      <c r="A579" s="1822" t="s">
        <v>2236</v>
      </c>
      <c r="B579" s="379" t="s">
        <v>2237</v>
      </c>
      <c r="C579" s="1823" t="s">
        <v>2643</v>
      </c>
      <c r="D579" s="379" t="s">
        <v>3422</v>
      </c>
      <c r="E579" s="1168">
        <v>0</v>
      </c>
      <c r="F579" s="1168">
        <v>1400000</v>
      </c>
      <c r="G579" s="1168">
        <v>1084206.62</v>
      </c>
      <c r="H579" s="1168">
        <v>315793.38</v>
      </c>
    </row>
    <row r="580" spans="1:8" ht="12.75">
      <c r="A580" s="1822" t="s">
        <v>2238</v>
      </c>
      <c r="B580" s="379" t="s">
        <v>2239</v>
      </c>
      <c r="C580" s="1823" t="s">
        <v>2643</v>
      </c>
      <c r="D580" s="379" t="s">
        <v>3422</v>
      </c>
      <c r="E580" s="1168">
        <v>0</v>
      </c>
      <c r="F580" s="1168">
        <v>308000</v>
      </c>
      <c r="G580" s="1168">
        <v>307216.5</v>
      </c>
      <c r="H580" s="1168">
        <v>783.5</v>
      </c>
    </row>
    <row r="581" spans="1:8" ht="12.75">
      <c r="A581" s="1822" t="s">
        <v>2240</v>
      </c>
      <c r="B581" s="379" t="s">
        <v>2239</v>
      </c>
      <c r="C581" s="1823" t="s">
        <v>2643</v>
      </c>
      <c r="D581" s="379" t="s">
        <v>3422</v>
      </c>
      <c r="E581" s="1168">
        <v>0</v>
      </c>
      <c r="F581" s="1168">
        <v>126000</v>
      </c>
      <c r="G581" s="1168">
        <v>125557</v>
      </c>
      <c r="H581" s="1168">
        <v>443</v>
      </c>
    </row>
    <row r="582" spans="1:8" ht="12.75">
      <c r="A582" s="1822" t="s">
        <v>2241</v>
      </c>
      <c r="B582" s="379" t="s">
        <v>2242</v>
      </c>
      <c r="C582" s="1823" t="s">
        <v>2643</v>
      </c>
      <c r="D582" s="379" t="s">
        <v>3422</v>
      </c>
      <c r="E582" s="1168">
        <v>0</v>
      </c>
      <c r="F582" s="1168">
        <v>264000</v>
      </c>
      <c r="G582" s="1168">
        <v>263718.7</v>
      </c>
      <c r="H582" s="1168">
        <v>281.3</v>
      </c>
    </row>
    <row r="583" spans="1:8" ht="12.75">
      <c r="A583" s="1822" t="s">
        <v>2243</v>
      </c>
      <c r="B583" s="379" t="s">
        <v>2244</v>
      </c>
      <c r="C583" s="1823" t="s">
        <v>2643</v>
      </c>
      <c r="D583" s="379" t="s">
        <v>3422</v>
      </c>
      <c r="E583" s="1168">
        <v>0</v>
      </c>
      <c r="F583" s="1168">
        <v>4623000</v>
      </c>
      <c r="G583" s="1168">
        <v>4602479.53</v>
      </c>
      <c r="H583" s="1168">
        <v>20520.47</v>
      </c>
    </row>
    <row r="584" spans="1:8" ht="12.75">
      <c r="A584" s="1822" t="s">
        <v>2243</v>
      </c>
      <c r="B584" s="379" t="s">
        <v>2244</v>
      </c>
      <c r="C584" s="1823" t="s">
        <v>2643</v>
      </c>
      <c r="D584" s="379" t="s">
        <v>3423</v>
      </c>
      <c r="E584" s="1168">
        <v>0</v>
      </c>
      <c r="F584" s="1168">
        <v>577000</v>
      </c>
      <c r="G584" s="1168">
        <v>574365.48</v>
      </c>
      <c r="H584" s="1168">
        <v>2634.52</v>
      </c>
    </row>
    <row r="585" spans="1:8" ht="12.75">
      <c r="A585" s="1822" t="s">
        <v>2245</v>
      </c>
      <c r="B585" s="379" t="s">
        <v>2246</v>
      </c>
      <c r="C585" s="1823" t="s">
        <v>2643</v>
      </c>
      <c r="D585" s="379" t="s">
        <v>3423</v>
      </c>
      <c r="E585" s="1168">
        <v>0</v>
      </c>
      <c r="F585" s="1168">
        <v>3200000</v>
      </c>
      <c r="G585" s="1168">
        <v>2965267.47</v>
      </c>
      <c r="H585" s="1168">
        <v>234732.53</v>
      </c>
    </row>
    <row r="586" spans="1:8" ht="12.75">
      <c r="A586" s="1822" t="s">
        <v>2247</v>
      </c>
      <c r="B586" s="379" t="s">
        <v>2248</v>
      </c>
      <c r="C586" s="1823" t="s">
        <v>2643</v>
      </c>
      <c r="D586" s="379" t="s">
        <v>3422</v>
      </c>
      <c r="E586" s="1168">
        <v>0</v>
      </c>
      <c r="F586" s="1168">
        <v>27451000</v>
      </c>
      <c r="G586" s="1168">
        <v>11541453</v>
      </c>
      <c r="H586" s="1168">
        <v>15909547</v>
      </c>
    </row>
    <row r="587" spans="1:8" ht="12.75">
      <c r="A587" s="1822" t="s">
        <v>2247</v>
      </c>
      <c r="B587" s="379" t="s">
        <v>2248</v>
      </c>
      <c r="C587" s="1823" t="s">
        <v>2643</v>
      </c>
      <c r="D587" s="379" t="s">
        <v>3423</v>
      </c>
      <c r="E587" s="1168">
        <v>0</v>
      </c>
      <c r="F587" s="1168">
        <v>2550000</v>
      </c>
      <c r="G587" s="1168">
        <v>871675</v>
      </c>
      <c r="H587" s="1168">
        <v>1678325</v>
      </c>
    </row>
    <row r="588" spans="1:8" ht="12.75">
      <c r="A588" s="1822" t="s">
        <v>2249</v>
      </c>
      <c r="B588" s="379" t="s">
        <v>2250</v>
      </c>
      <c r="C588" s="1823" t="s">
        <v>2193</v>
      </c>
      <c r="D588" s="379" t="s">
        <v>3422</v>
      </c>
      <c r="E588" s="1168">
        <v>0</v>
      </c>
      <c r="F588" s="1168">
        <v>140000</v>
      </c>
      <c r="G588" s="1168">
        <v>140000</v>
      </c>
      <c r="H588" s="1168">
        <v>0</v>
      </c>
    </row>
    <row r="589" spans="1:8" ht="12.75">
      <c r="A589" s="1822" t="s">
        <v>2251</v>
      </c>
      <c r="B589" s="379" t="s">
        <v>2189</v>
      </c>
      <c r="C589" s="1823" t="s">
        <v>2541</v>
      </c>
      <c r="D589" s="379" t="s">
        <v>3422</v>
      </c>
      <c r="E589" s="1168">
        <v>0</v>
      </c>
      <c r="F589" s="1168">
        <v>73000</v>
      </c>
      <c r="G589" s="1168">
        <v>72945</v>
      </c>
      <c r="H589" s="1168">
        <v>55</v>
      </c>
    </row>
    <row r="590" spans="1:8" ht="12.75">
      <c r="A590" s="1822" t="s">
        <v>2252</v>
      </c>
      <c r="B590" s="379" t="s">
        <v>2253</v>
      </c>
      <c r="C590" s="1823" t="s">
        <v>2541</v>
      </c>
      <c r="D590" s="379" t="s">
        <v>3422</v>
      </c>
      <c r="E590" s="1168">
        <v>0</v>
      </c>
      <c r="F590" s="1168">
        <v>386000</v>
      </c>
      <c r="G590" s="1168">
        <v>385822</v>
      </c>
      <c r="H590" s="1168">
        <v>178</v>
      </c>
    </row>
    <row r="591" spans="1:8" ht="12.75">
      <c r="A591" s="1822" t="s">
        <v>2254</v>
      </c>
      <c r="B591" s="379" t="s">
        <v>2255</v>
      </c>
      <c r="C591" s="1823" t="s">
        <v>2235</v>
      </c>
      <c r="D591" s="379" t="s">
        <v>3422</v>
      </c>
      <c r="E591" s="1168">
        <v>0</v>
      </c>
      <c r="F591" s="1168">
        <v>389000</v>
      </c>
      <c r="G591" s="1168">
        <v>388099</v>
      </c>
      <c r="H591" s="1168">
        <v>901</v>
      </c>
    </row>
    <row r="592" spans="1:8" ht="12.75">
      <c r="A592" s="1822" t="s">
        <v>2256</v>
      </c>
      <c r="B592" s="379" t="s">
        <v>2257</v>
      </c>
      <c r="C592" s="1823" t="s">
        <v>2235</v>
      </c>
      <c r="D592" s="379" t="s">
        <v>3422</v>
      </c>
      <c r="E592" s="1168">
        <v>0</v>
      </c>
      <c r="F592" s="1168">
        <v>146000</v>
      </c>
      <c r="G592" s="1168">
        <v>145702</v>
      </c>
      <c r="H592" s="1168">
        <v>298</v>
      </c>
    </row>
    <row r="593" spans="1:8" ht="12.75">
      <c r="A593" s="1822" t="s">
        <v>2258</v>
      </c>
      <c r="B593" s="379" t="s">
        <v>3501</v>
      </c>
      <c r="C593" s="1823" t="s">
        <v>2235</v>
      </c>
      <c r="D593" s="379" t="s">
        <v>3422</v>
      </c>
      <c r="E593" s="1168">
        <v>0</v>
      </c>
      <c r="F593" s="1168">
        <v>101000</v>
      </c>
      <c r="G593" s="1168">
        <v>100513</v>
      </c>
      <c r="H593" s="1168">
        <v>487</v>
      </c>
    </row>
    <row r="594" spans="1:8" ht="12.75">
      <c r="A594" s="1822" t="s">
        <v>2259</v>
      </c>
      <c r="B594" s="379" t="s">
        <v>2250</v>
      </c>
      <c r="C594" s="1823" t="s">
        <v>2235</v>
      </c>
      <c r="D594" s="379" t="s">
        <v>3422</v>
      </c>
      <c r="E594" s="1168">
        <v>0</v>
      </c>
      <c r="F594" s="1168">
        <v>218000</v>
      </c>
      <c r="G594" s="1168">
        <v>217698.5</v>
      </c>
      <c r="H594" s="1168">
        <v>301</v>
      </c>
    </row>
    <row r="595" spans="1:8" ht="12.75">
      <c r="A595" s="1822" t="s">
        <v>2260</v>
      </c>
      <c r="B595" s="379" t="s">
        <v>2261</v>
      </c>
      <c r="C595" s="1823" t="s">
        <v>2235</v>
      </c>
      <c r="D595" s="379" t="s">
        <v>3422</v>
      </c>
      <c r="E595" s="1168">
        <v>0</v>
      </c>
      <c r="F595" s="1168">
        <v>89000</v>
      </c>
      <c r="G595" s="1168">
        <v>88655</v>
      </c>
      <c r="H595" s="1168">
        <v>345</v>
      </c>
    </row>
    <row r="596" spans="1:8" ht="12.75">
      <c r="A596" s="1822" t="s">
        <v>2262</v>
      </c>
      <c r="B596" s="379" t="s">
        <v>2178</v>
      </c>
      <c r="C596" s="1823" t="s">
        <v>2235</v>
      </c>
      <c r="D596" s="379" t="s">
        <v>3422</v>
      </c>
      <c r="E596" s="1168">
        <v>0</v>
      </c>
      <c r="F596" s="1168">
        <v>760000</v>
      </c>
      <c r="G596" s="1168">
        <v>759829</v>
      </c>
      <c r="H596" s="1168">
        <v>171</v>
      </c>
    </row>
    <row r="597" spans="1:8" ht="12.75">
      <c r="A597" s="1822" t="s">
        <v>2263</v>
      </c>
      <c r="B597" s="379" t="s">
        <v>2264</v>
      </c>
      <c r="C597" s="1823" t="s">
        <v>2541</v>
      </c>
      <c r="D597" s="379" t="s">
        <v>3422</v>
      </c>
      <c r="E597" s="1168">
        <v>0</v>
      </c>
      <c r="F597" s="1168">
        <v>97000</v>
      </c>
      <c r="G597" s="1168">
        <v>96049</v>
      </c>
      <c r="H597" s="1168">
        <v>951</v>
      </c>
    </row>
    <row r="598" spans="1:8" ht="12.75">
      <c r="A598" s="1822" t="s">
        <v>2265</v>
      </c>
      <c r="B598" s="379" t="s">
        <v>2266</v>
      </c>
      <c r="C598" s="1823" t="s">
        <v>2235</v>
      </c>
      <c r="D598" s="379" t="s">
        <v>3422</v>
      </c>
      <c r="E598" s="1168">
        <v>0</v>
      </c>
      <c r="F598" s="1168">
        <v>156000</v>
      </c>
      <c r="G598" s="1168">
        <v>155110</v>
      </c>
      <c r="H598" s="1168">
        <v>890</v>
      </c>
    </row>
    <row r="599" spans="1:8" ht="12.75">
      <c r="A599" s="1822" t="s">
        <v>2267</v>
      </c>
      <c r="B599" s="379" t="s">
        <v>2268</v>
      </c>
      <c r="C599" s="1823" t="s">
        <v>3190</v>
      </c>
      <c r="D599" s="379" t="s">
        <v>3423</v>
      </c>
      <c r="E599" s="1168">
        <v>0</v>
      </c>
      <c r="F599" s="1168">
        <v>355000</v>
      </c>
      <c r="G599" s="1168">
        <v>354999.61</v>
      </c>
      <c r="H599" s="1168">
        <v>0</v>
      </c>
    </row>
    <row r="600" spans="1:8" ht="12.75">
      <c r="A600" s="1822" t="s">
        <v>2269</v>
      </c>
      <c r="B600" s="379" t="s">
        <v>2270</v>
      </c>
      <c r="C600" s="1823" t="s">
        <v>2235</v>
      </c>
      <c r="D600" s="379" t="s">
        <v>3422</v>
      </c>
      <c r="E600" s="1168">
        <v>0</v>
      </c>
      <c r="F600" s="1168">
        <v>150000</v>
      </c>
      <c r="G600" s="1168">
        <v>150000</v>
      </c>
      <c r="H600" s="1168">
        <v>0</v>
      </c>
    </row>
    <row r="601" spans="1:8" ht="12.75">
      <c r="A601" s="1822" t="s">
        <v>2271</v>
      </c>
      <c r="B601" s="379" t="s">
        <v>2272</v>
      </c>
      <c r="C601" s="1823" t="s">
        <v>2561</v>
      </c>
      <c r="D601" s="379" t="s">
        <v>3422</v>
      </c>
      <c r="E601" s="1168">
        <v>0</v>
      </c>
      <c r="F601" s="1168">
        <v>385000</v>
      </c>
      <c r="G601" s="1168">
        <v>384667.5</v>
      </c>
      <c r="H601" s="1168">
        <v>332.5</v>
      </c>
    </row>
    <row r="602" spans="1:8" ht="12.75">
      <c r="A602" s="1822" t="s">
        <v>2273</v>
      </c>
      <c r="B602" s="379" t="s">
        <v>2274</v>
      </c>
      <c r="C602" s="1823" t="s">
        <v>2561</v>
      </c>
      <c r="D602" s="379" t="s">
        <v>3422</v>
      </c>
      <c r="E602" s="1168">
        <v>0</v>
      </c>
      <c r="F602" s="1168">
        <v>257000</v>
      </c>
      <c r="G602" s="1168">
        <v>256433.1</v>
      </c>
      <c r="H602" s="1168">
        <v>566.9</v>
      </c>
    </row>
    <row r="603" spans="1:8" ht="12.75">
      <c r="A603" s="1822" t="s">
        <v>2275</v>
      </c>
      <c r="B603" s="379" t="s">
        <v>2276</v>
      </c>
      <c r="C603" s="1823" t="s">
        <v>2561</v>
      </c>
      <c r="D603" s="379" t="s">
        <v>3422</v>
      </c>
      <c r="E603" s="1168">
        <v>0</v>
      </c>
      <c r="F603" s="1168">
        <v>241000</v>
      </c>
      <c r="G603" s="1168">
        <v>240975</v>
      </c>
      <c r="H603" s="1168">
        <v>25</v>
      </c>
    </row>
    <row r="604" spans="1:8" ht="12.75">
      <c r="A604" s="1822" t="s">
        <v>2275</v>
      </c>
      <c r="B604" s="379" t="s">
        <v>2276</v>
      </c>
      <c r="C604" s="1823" t="s">
        <v>2561</v>
      </c>
      <c r="D604" s="379" t="s">
        <v>3423</v>
      </c>
      <c r="E604" s="1168">
        <v>0</v>
      </c>
      <c r="F604" s="1168">
        <v>25000</v>
      </c>
      <c r="G604" s="1168">
        <v>24990</v>
      </c>
      <c r="H604" s="1168">
        <v>10</v>
      </c>
    </row>
    <row r="605" spans="1:8" ht="12.75">
      <c r="A605" s="1822" t="s">
        <v>2277</v>
      </c>
      <c r="B605" s="379" t="s">
        <v>2278</v>
      </c>
      <c r="C605" s="1823" t="s">
        <v>3190</v>
      </c>
      <c r="D605" s="379" t="s">
        <v>3422</v>
      </c>
      <c r="E605" s="1168">
        <v>0</v>
      </c>
      <c r="F605" s="1168">
        <v>546000</v>
      </c>
      <c r="G605" s="1168">
        <v>545574.2</v>
      </c>
      <c r="H605" s="1168">
        <v>425</v>
      </c>
    </row>
    <row r="606" spans="1:8" ht="12.75">
      <c r="A606" s="1822" t="s">
        <v>2277</v>
      </c>
      <c r="B606" s="379" t="s">
        <v>2278</v>
      </c>
      <c r="C606" s="1823" t="s">
        <v>3190</v>
      </c>
      <c r="D606" s="379" t="s">
        <v>3423</v>
      </c>
      <c r="E606" s="1168">
        <v>0</v>
      </c>
      <c r="F606" s="1168">
        <v>24000</v>
      </c>
      <c r="G606" s="1168">
        <v>23919</v>
      </c>
      <c r="H606" s="1168">
        <v>81</v>
      </c>
    </row>
    <row r="607" spans="1:8" ht="12.75">
      <c r="A607" s="1822" t="s">
        <v>2279</v>
      </c>
      <c r="B607" s="379" t="s">
        <v>2280</v>
      </c>
      <c r="C607" s="1823" t="s">
        <v>3190</v>
      </c>
      <c r="D607" s="379" t="s">
        <v>3422</v>
      </c>
      <c r="E607" s="1168">
        <v>0</v>
      </c>
      <c r="F607" s="1168">
        <v>393000</v>
      </c>
      <c r="G607" s="1168">
        <v>392050</v>
      </c>
      <c r="H607" s="1168">
        <v>950</v>
      </c>
    </row>
    <row r="608" spans="1:8" ht="12.75">
      <c r="A608" s="1822" t="s">
        <v>2281</v>
      </c>
      <c r="B608" s="379" t="s">
        <v>2282</v>
      </c>
      <c r="C608" s="1823" t="s">
        <v>3190</v>
      </c>
      <c r="D608" s="379" t="s">
        <v>3423</v>
      </c>
      <c r="E608" s="1168">
        <v>0</v>
      </c>
      <c r="F608" s="1168">
        <v>113000</v>
      </c>
      <c r="G608" s="1168">
        <v>112160</v>
      </c>
      <c r="H608" s="1168">
        <v>840</v>
      </c>
    </row>
    <row r="609" spans="1:8" ht="12.75">
      <c r="A609" s="1822" t="s">
        <v>2283</v>
      </c>
      <c r="B609" s="379" t="s">
        <v>2284</v>
      </c>
      <c r="C609" s="1823" t="s">
        <v>3190</v>
      </c>
      <c r="D609" s="379" t="s">
        <v>3422</v>
      </c>
      <c r="E609" s="1168">
        <v>0</v>
      </c>
      <c r="F609" s="1168">
        <v>250000</v>
      </c>
      <c r="G609" s="1168">
        <v>249661</v>
      </c>
      <c r="H609" s="1168">
        <v>339</v>
      </c>
    </row>
    <row r="610" spans="1:8" ht="12.75">
      <c r="A610" s="1822" t="s">
        <v>2285</v>
      </c>
      <c r="B610" s="379" t="s">
        <v>2286</v>
      </c>
      <c r="C610" s="1823" t="s">
        <v>3190</v>
      </c>
      <c r="D610" s="379" t="s">
        <v>3422</v>
      </c>
      <c r="E610" s="1168">
        <v>0</v>
      </c>
      <c r="F610" s="1168">
        <v>174000</v>
      </c>
      <c r="G610" s="1168">
        <v>161393.1</v>
      </c>
      <c r="H610" s="1168">
        <v>12606</v>
      </c>
    </row>
    <row r="611" spans="1:8" ht="12.75">
      <c r="A611" s="1822" t="s">
        <v>2285</v>
      </c>
      <c r="B611" s="379" t="s">
        <v>2286</v>
      </c>
      <c r="C611" s="1823" t="s">
        <v>3190</v>
      </c>
      <c r="D611" s="379" t="s">
        <v>3423</v>
      </c>
      <c r="E611" s="1168">
        <v>0</v>
      </c>
      <c r="F611" s="1168">
        <v>94000</v>
      </c>
      <c r="G611" s="1168">
        <v>85873.37</v>
      </c>
      <c r="H611" s="1168">
        <v>8125</v>
      </c>
    </row>
    <row r="612" spans="1:8" ht="12.75">
      <c r="A612" s="1822" t="s">
        <v>2287</v>
      </c>
      <c r="B612" s="379" t="s">
        <v>2288</v>
      </c>
      <c r="C612" s="1823" t="s">
        <v>3190</v>
      </c>
      <c r="D612" s="379" t="s">
        <v>3422</v>
      </c>
      <c r="E612" s="1168">
        <v>0</v>
      </c>
      <c r="F612" s="1168">
        <v>5433000</v>
      </c>
      <c r="G612" s="1168">
        <v>5432226</v>
      </c>
      <c r="H612" s="1168">
        <v>774</v>
      </c>
    </row>
    <row r="613" spans="1:8" ht="12.75">
      <c r="A613" s="1822" t="s">
        <v>2289</v>
      </c>
      <c r="B613" s="379" t="s">
        <v>2290</v>
      </c>
      <c r="C613" s="1823" t="s">
        <v>3190</v>
      </c>
      <c r="D613" s="379" t="s">
        <v>3423</v>
      </c>
      <c r="E613" s="1168">
        <v>0</v>
      </c>
      <c r="F613" s="1168">
        <v>256000</v>
      </c>
      <c r="G613" s="1168">
        <v>255192</v>
      </c>
      <c r="H613" s="1168">
        <v>808</v>
      </c>
    </row>
    <row r="614" spans="1:8" ht="12.75">
      <c r="A614" s="1822" t="s">
        <v>2291</v>
      </c>
      <c r="B614" s="379" t="s">
        <v>2219</v>
      </c>
      <c r="C614" s="1823" t="s">
        <v>2176</v>
      </c>
      <c r="D614" s="379" t="s">
        <v>3422</v>
      </c>
      <c r="E614" s="1168">
        <v>0</v>
      </c>
      <c r="F614" s="1168">
        <v>90000</v>
      </c>
      <c r="G614" s="1168">
        <v>89210</v>
      </c>
      <c r="H614" s="1168">
        <v>0</v>
      </c>
    </row>
    <row r="615" spans="1:8" ht="12.75">
      <c r="A615" s="1822" t="s">
        <v>2292</v>
      </c>
      <c r="B615" s="379" t="s">
        <v>2293</v>
      </c>
      <c r="C615" s="1823" t="s">
        <v>3190</v>
      </c>
      <c r="D615" s="379" t="s">
        <v>3422</v>
      </c>
      <c r="E615" s="1168">
        <v>0</v>
      </c>
      <c r="F615" s="1168">
        <v>266000</v>
      </c>
      <c r="G615" s="1168">
        <v>265696.06</v>
      </c>
      <c r="H615" s="1168">
        <v>303</v>
      </c>
    </row>
    <row r="616" spans="1:8" ht="12.75">
      <c r="A616" s="1822" t="s">
        <v>2292</v>
      </c>
      <c r="B616" s="379" t="s">
        <v>2293</v>
      </c>
      <c r="C616" s="1823" t="s">
        <v>3190</v>
      </c>
      <c r="D616" s="379" t="s">
        <v>3423</v>
      </c>
      <c r="E616" s="1168">
        <v>0</v>
      </c>
      <c r="F616" s="1168">
        <v>157000</v>
      </c>
      <c r="G616" s="1168">
        <v>155128.4</v>
      </c>
      <c r="H616" s="1168">
        <v>1871</v>
      </c>
    </row>
    <row r="617" spans="1:8" ht="12.75">
      <c r="A617" s="1822" t="s">
        <v>2294</v>
      </c>
      <c r="B617" s="379" t="s">
        <v>2295</v>
      </c>
      <c r="C617" s="1823" t="s">
        <v>2193</v>
      </c>
      <c r="D617" s="379" t="s">
        <v>3422</v>
      </c>
      <c r="E617" s="1168">
        <v>0</v>
      </c>
      <c r="F617" s="1168">
        <v>50000</v>
      </c>
      <c r="G617" s="1168">
        <v>49527</v>
      </c>
      <c r="H617" s="1168">
        <v>109</v>
      </c>
    </row>
    <row r="618" spans="1:8" ht="12.75">
      <c r="A618" s="1822" t="s">
        <v>2296</v>
      </c>
      <c r="B618" s="379" t="s">
        <v>2297</v>
      </c>
      <c r="C618" s="1823" t="s">
        <v>3190</v>
      </c>
      <c r="D618" s="379" t="s">
        <v>3422</v>
      </c>
      <c r="E618" s="1168">
        <v>0</v>
      </c>
      <c r="F618" s="1168">
        <v>2380000</v>
      </c>
      <c r="G618" s="1168">
        <v>2379930</v>
      </c>
      <c r="H618" s="1168">
        <v>70</v>
      </c>
    </row>
    <row r="619" spans="1:8" ht="12.75">
      <c r="A619" s="1822" t="s">
        <v>2298</v>
      </c>
      <c r="B619" s="379" t="s">
        <v>2299</v>
      </c>
      <c r="C619" s="1823" t="s">
        <v>2176</v>
      </c>
      <c r="D619" s="379" t="s">
        <v>3422</v>
      </c>
      <c r="E619" s="1168">
        <v>0</v>
      </c>
      <c r="F619" s="1168">
        <v>113000</v>
      </c>
      <c r="G619" s="1168">
        <v>112324</v>
      </c>
      <c r="H619" s="1168">
        <v>0</v>
      </c>
    </row>
    <row r="620" spans="1:8" ht="12.75">
      <c r="A620" s="1822" t="s">
        <v>2300</v>
      </c>
      <c r="B620" s="379" t="s">
        <v>2301</v>
      </c>
      <c r="C620" s="1823" t="s">
        <v>2643</v>
      </c>
      <c r="D620" s="379" t="s">
        <v>3422</v>
      </c>
      <c r="E620" s="1168">
        <v>0</v>
      </c>
      <c r="F620" s="1168">
        <v>842000</v>
      </c>
      <c r="G620" s="1168">
        <v>841330</v>
      </c>
      <c r="H620" s="1168">
        <v>670</v>
      </c>
    </row>
    <row r="621" spans="1:8" ht="12.75">
      <c r="A621" s="1822" t="s">
        <v>2302</v>
      </c>
      <c r="B621" s="379" t="s">
        <v>2303</v>
      </c>
      <c r="C621" s="1823" t="s">
        <v>3190</v>
      </c>
      <c r="D621" s="379" t="s">
        <v>3422</v>
      </c>
      <c r="E621" s="1168">
        <v>0</v>
      </c>
      <c r="F621" s="1168">
        <v>383000</v>
      </c>
      <c r="G621" s="1168">
        <v>382932</v>
      </c>
      <c r="H621" s="1168">
        <v>68</v>
      </c>
    </row>
    <row r="622" spans="1:8" ht="12.75">
      <c r="A622" s="1822" t="s">
        <v>2302</v>
      </c>
      <c r="B622" s="379" t="s">
        <v>2303</v>
      </c>
      <c r="C622" s="1823" t="s">
        <v>3190</v>
      </c>
      <c r="D622" s="379" t="s">
        <v>3423</v>
      </c>
      <c r="E622" s="1168">
        <v>0</v>
      </c>
      <c r="F622" s="1168">
        <v>118000</v>
      </c>
      <c r="G622" s="1168">
        <v>117304</v>
      </c>
      <c r="H622" s="1168">
        <v>695</v>
      </c>
    </row>
    <row r="623" spans="1:8" ht="12.75">
      <c r="A623" s="1822" t="s">
        <v>2304</v>
      </c>
      <c r="B623" s="379" t="s">
        <v>2305</v>
      </c>
      <c r="C623" s="1823" t="s">
        <v>3190</v>
      </c>
      <c r="D623" s="379" t="s">
        <v>3423</v>
      </c>
      <c r="E623" s="1168">
        <v>0</v>
      </c>
      <c r="F623" s="1168">
        <v>128000</v>
      </c>
      <c r="G623" s="1168">
        <v>103687</v>
      </c>
      <c r="H623" s="1168">
        <v>24313</v>
      </c>
    </row>
    <row r="624" spans="1:8" ht="12.75">
      <c r="A624" s="1822" t="s">
        <v>2306</v>
      </c>
      <c r="B624" s="379" t="s">
        <v>2307</v>
      </c>
      <c r="C624" s="1823" t="s">
        <v>3190</v>
      </c>
      <c r="D624" s="379" t="s">
        <v>3422</v>
      </c>
      <c r="E624" s="1168">
        <v>0</v>
      </c>
      <c r="F624" s="1168">
        <v>343000</v>
      </c>
      <c r="G624" s="1168">
        <v>307734</v>
      </c>
      <c r="H624" s="1168">
        <v>35266</v>
      </c>
    </row>
    <row r="625" spans="1:8" ht="12.75">
      <c r="A625" s="1822" t="s">
        <v>2308</v>
      </c>
      <c r="B625" s="379" t="s">
        <v>2309</v>
      </c>
      <c r="C625" s="1823" t="s">
        <v>3190</v>
      </c>
      <c r="D625" s="379" t="s">
        <v>3422</v>
      </c>
      <c r="E625" s="1168">
        <v>0</v>
      </c>
      <c r="F625" s="1168">
        <v>310000</v>
      </c>
      <c r="G625" s="1168">
        <v>164224.76</v>
      </c>
      <c r="H625" s="1168">
        <v>145775</v>
      </c>
    </row>
    <row r="626" spans="1:8" ht="12.75">
      <c r="A626" s="1822" t="s">
        <v>2308</v>
      </c>
      <c r="B626" s="379" t="s">
        <v>2309</v>
      </c>
      <c r="C626" s="1823" t="s">
        <v>3190</v>
      </c>
      <c r="D626" s="379" t="s">
        <v>3423</v>
      </c>
      <c r="E626" s="1168">
        <v>0</v>
      </c>
      <c r="F626" s="1168">
        <v>96000</v>
      </c>
      <c r="G626" s="1168">
        <v>95795</v>
      </c>
      <c r="H626" s="1168">
        <v>205</v>
      </c>
    </row>
    <row r="627" spans="1:8" ht="12.75">
      <c r="A627" s="1822" t="s">
        <v>2310</v>
      </c>
      <c r="B627" s="379" t="s">
        <v>2311</v>
      </c>
      <c r="C627" s="1823" t="s">
        <v>3190</v>
      </c>
      <c r="D627" s="379" t="s">
        <v>3422</v>
      </c>
      <c r="E627" s="1168">
        <v>0</v>
      </c>
      <c r="F627" s="1168">
        <v>256000</v>
      </c>
      <c r="G627" s="1168">
        <v>195160</v>
      </c>
      <c r="H627" s="1168">
        <v>60840</v>
      </c>
    </row>
    <row r="628" spans="1:8" ht="12.75">
      <c r="A628" s="1822" t="s">
        <v>2310</v>
      </c>
      <c r="B628" s="379" t="s">
        <v>2311</v>
      </c>
      <c r="C628" s="1823" t="s">
        <v>3190</v>
      </c>
      <c r="D628" s="379" t="s">
        <v>3423</v>
      </c>
      <c r="E628" s="1168">
        <v>0</v>
      </c>
      <c r="F628" s="1168">
        <v>377000</v>
      </c>
      <c r="G628" s="1168">
        <v>329710.92</v>
      </c>
      <c r="H628" s="1168">
        <v>47289</v>
      </c>
    </row>
    <row r="629" spans="1:8" ht="12.75">
      <c r="A629" s="1822" t="s">
        <v>2312</v>
      </c>
      <c r="B629" s="379" t="s">
        <v>2313</v>
      </c>
      <c r="C629" s="1823" t="s">
        <v>3190</v>
      </c>
      <c r="D629" s="379" t="s">
        <v>3422</v>
      </c>
      <c r="E629" s="1168">
        <v>0</v>
      </c>
      <c r="F629" s="1168">
        <v>711000</v>
      </c>
      <c r="G629" s="1168">
        <v>338719.7</v>
      </c>
      <c r="H629" s="1168">
        <v>372280</v>
      </c>
    </row>
    <row r="630" spans="1:8" ht="12.75">
      <c r="A630" s="1822" t="s">
        <v>2312</v>
      </c>
      <c r="B630" s="379" t="s">
        <v>2313</v>
      </c>
      <c r="C630" s="1823" t="s">
        <v>3190</v>
      </c>
      <c r="D630" s="379" t="s">
        <v>3423</v>
      </c>
      <c r="E630" s="1168">
        <v>0</v>
      </c>
      <c r="F630" s="1168">
        <v>1276000</v>
      </c>
      <c r="G630" s="1168">
        <v>1275556.9</v>
      </c>
      <c r="H630" s="1168">
        <v>443</v>
      </c>
    </row>
    <row r="631" spans="1:8" ht="12.75">
      <c r="A631" s="1822" t="s">
        <v>2314</v>
      </c>
      <c r="B631" s="379" t="s">
        <v>2315</v>
      </c>
      <c r="C631" s="1823" t="s">
        <v>3190</v>
      </c>
      <c r="D631" s="379" t="s">
        <v>3422</v>
      </c>
      <c r="E631" s="1168">
        <v>0</v>
      </c>
      <c r="F631" s="1168">
        <v>1374000</v>
      </c>
      <c r="G631" s="1168">
        <v>906780</v>
      </c>
      <c r="H631" s="1168">
        <v>467220</v>
      </c>
    </row>
    <row r="632" spans="1:8" ht="12.75">
      <c r="A632" s="1822" t="s">
        <v>2314</v>
      </c>
      <c r="B632" s="379" t="s">
        <v>2315</v>
      </c>
      <c r="C632" s="1823" t="s">
        <v>3190</v>
      </c>
      <c r="D632" s="379" t="s">
        <v>3423</v>
      </c>
      <c r="E632" s="1168">
        <v>0</v>
      </c>
      <c r="F632" s="1168">
        <v>1006000</v>
      </c>
      <c r="G632" s="1168">
        <v>1005407.2</v>
      </c>
      <c r="H632" s="1168">
        <v>592</v>
      </c>
    </row>
    <row r="633" spans="1:8" ht="12.75">
      <c r="A633" s="1822" t="s">
        <v>2316</v>
      </c>
      <c r="B633" s="379" t="s">
        <v>2206</v>
      </c>
      <c r="C633" s="1823" t="s">
        <v>3190</v>
      </c>
      <c r="D633" s="379" t="s">
        <v>3423</v>
      </c>
      <c r="E633" s="1168">
        <v>0</v>
      </c>
      <c r="F633" s="1168">
        <v>1544000</v>
      </c>
      <c r="G633" s="1168">
        <v>1543322</v>
      </c>
      <c r="H633" s="1168">
        <v>678</v>
      </c>
    </row>
    <row r="634" spans="1:8" ht="12.75">
      <c r="A634" s="1822" t="s">
        <v>2317</v>
      </c>
      <c r="B634" s="379" t="s">
        <v>2318</v>
      </c>
      <c r="C634" s="1823" t="s">
        <v>3190</v>
      </c>
      <c r="D634" s="379" t="s">
        <v>3422</v>
      </c>
      <c r="E634" s="1168">
        <v>0</v>
      </c>
      <c r="F634" s="1168">
        <v>535000</v>
      </c>
      <c r="G634" s="1168">
        <v>0</v>
      </c>
      <c r="H634" s="1168">
        <v>535000</v>
      </c>
    </row>
    <row r="635" spans="1:8" ht="12.75">
      <c r="A635" s="1822" t="s">
        <v>2317</v>
      </c>
      <c r="B635" s="379" t="s">
        <v>2318</v>
      </c>
      <c r="C635" s="1823" t="s">
        <v>3190</v>
      </c>
      <c r="D635" s="379" t="s">
        <v>3423</v>
      </c>
      <c r="E635" s="1168">
        <v>0</v>
      </c>
      <c r="F635" s="1168">
        <v>67000</v>
      </c>
      <c r="G635" s="1168">
        <v>0</v>
      </c>
      <c r="H635" s="1168">
        <v>67000</v>
      </c>
    </row>
    <row r="636" spans="1:8" ht="12.75">
      <c r="A636" s="1822" t="s">
        <v>2319</v>
      </c>
      <c r="B636" s="379" t="s">
        <v>2320</v>
      </c>
      <c r="C636" s="1823" t="s">
        <v>3190</v>
      </c>
      <c r="D636" s="379" t="s">
        <v>3422</v>
      </c>
      <c r="E636" s="1168">
        <v>0</v>
      </c>
      <c r="F636" s="1168">
        <v>676000</v>
      </c>
      <c r="G636" s="1168">
        <v>675997</v>
      </c>
      <c r="H636" s="1168">
        <v>3</v>
      </c>
    </row>
    <row r="637" spans="1:8" ht="12.75">
      <c r="A637" s="1822" t="s">
        <v>2319</v>
      </c>
      <c r="B637" s="379" t="s">
        <v>2320</v>
      </c>
      <c r="C637" s="1823" t="s">
        <v>3190</v>
      </c>
      <c r="D637" s="379" t="s">
        <v>3423</v>
      </c>
      <c r="E637" s="1168">
        <v>0</v>
      </c>
      <c r="F637" s="1168">
        <v>112000</v>
      </c>
      <c r="G637" s="1168">
        <v>111919</v>
      </c>
      <c r="H637" s="1168">
        <v>81</v>
      </c>
    </row>
    <row r="638" spans="1:8" ht="12.75">
      <c r="A638" s="1822" t="s">
        <v>2321</v>
      </c>
      <c r="B638" s="379" t="s">
        <v>2189</v>
      </c>
      <c r="C638" s="1823" t="s">
        <v>3190</v>
      </c>
      <c r="D638" s="379" t="s">
        <v>3422</v>
      </c>
      <c r="E638" s="1168">
        <v>0</v>
      </c>
      <c r="F638" s="1168">
        <v>71000</v>
      </c>
      <c r="G638" s="1168">
        <v>70210</v>
      </c>
      <c r="H638" s="1168">
        <v>790</v>
      </c>
    </row>
    <row r="639" spans="1:8" ht="12.75">
      <c r="A639" s="1822" t="s">
        <v>2322</v>
      </c>
      <c r="B639" s="379" t="s">
        <v>2323</v>
      </c>
      <c r="C639" s="1823" t="s">
        <v>2169</v>
      </c>
      <c r="D639" s="379" t="s">
        <v>3422</v>
      </c>
      <c r="E639" s="1168">
        <v>0</v>
      </c>
      <c r="F639" s="1168">
        <v>1875000</v>
      </c>
      <c r="G639" s="1168">
        <v>0</v>
      </c>
      <c r="H639" s="1168">
        <v>1875000</v>
      </c>
    </row>
    <row r="640" spans="1:8" ht="12.75">
      <c r="A640" s="1822" t="s">
        <v>2324</v>
      </c>
      <c r="B640" s="379" t="s">
        <v>2325</v>
      </c>
      <c r="C640" s="1823" t="s">
        <v>2532</v>
      </c>
      <c r="D640" s="379" t="s">
        <v>3422</v>
      </c>
      <c r="E640" s="1168">
        <v>0</v>
      </c>
      <c r="F640" s="1168">
        <v>912000</v>
      </c>
      <c r="G640" s="1168">
        <v>0</v>
      </c>
      <c r="H640" s="1168">
        <v>912000</v>
      </c>
    </row>
    <row r="641" spans="1:8" ht="12.75">
      <c r="A641" s="1822" t="s">
        <v>2326</v>
      </c>
      <c r="B641" s="379" t="s">
        <v>2187</v>
      </c>
      <c r="C641" s="1823" t="s">
        <v>2541</v>
      </c>
      <c r="D641" s="379" t="s">
        <v>3422</v>
      </c>
      <c r="E641" s="1168">
        <v>0</v>
      </c>
      <c r="F641" s="1168">
        <v>829000</v>
      </c>
      <c r="G641" s="1168">
        <v>828960</v>
      </c>
      <c r="H641" s="1168">
        <v>40</v>
      </c>
    </row>
    <row r="642" spans="1:8" ht="12.75">
      <c r="A642" s="1822" t="s">
        <v>2327</v>
      </c>
      <c r="B642" s="379" t="s">
        <v>2173</v>
      </c>
      <c r="C642" s="1823" t="s">
        <v>2235</v>
      </c>
      <c r="D642" s="379" t="s">
        <v>3422</v>
      </c>
      <c r="E642" s="1168">
        <v>0</v>
      </c>
      <c r="F642" s="1168">
        <v>250000</v>
      </c>
      <c r="G642" s="1168">
        <v>249960</v>
      </c>
      <c r="H642" s="1168">
        <v>40</v>
      </c>
    </row>
    <row r="643" spans="1:8" ht="12.75">
      <c r="A643" s="1822" t="s">
        <v>2328</v>
      </c>
      <c r="B643" s="379" t="s">
        <v>2187</v>
      </c>
      <c r="C643" s="1823" t="s">
        <v>2193</v>
      </c>
      <c r="D643" s="379" t="s">
        <v>3422</v>
      </c>
      <c r="E643" s="1168">
        <v>0</v>
      </c>
      <c r="F643" s="1168">
        <v>856000</v>
      </c>
      <c r="G643" s="1168">
        <v>856000</v>
      </c>
      <c r="H643" s="1168">
        <v>0</v>
      </c>
    </row>
    <row r="644" spans="1:8" ht="12.75">
      <c r="A644" s="1822" t="s">
        <v>2329</v>
      </c>
      <c r="B644" s="379" t="s">
        <v>2206</v>
      </c>
      <c r="C644" s="1823" t="s">
        <v>2184</v>
      </c>
      <c r="D644" s="379" t="s">
        <v>3422</v>
      </c>
      <c r="E644" s="1168">
        <v>0</v>
      </c>
      <c r="F644" s="1168">
        <v>333000</v>
      </c>
      <c r="G644" s="1168">
        <v>332895</v>
      </c>
      <c r="H644" s="1168">
        <v>105</v>
      </c>
    </row>
    <row r="645" spans="1:8" ht="12.75">
      <c r="A645" s="1822" t="s">
        <v>2329</v>
      </c>
      <c r="B645" s="379" t="s">
        <v>2206</v>
      </c>
      <c r="C645" s="1823" t="s">
        <v>2184</v>
      </c>
      <c r="D645" s="379" t="s">
        <v>3423</v>
      </c>
      <c r="E645" s="1168">
        <v>0</v>
      </c>
      <c r="F645" s="1168">
        <v>298000</v>
      </c>
      <c r="G645" s="1168">
        <v>297949</v>
      </c>
      <c r="H645" s="1168">
        <v>51</v>
      </c>
    </row>
    <row r="646" spans="1:8" ht="12.75">
      <c r="A646" s="1822" t="s">
        <v>2330</v>
      </c>
      <c r="B646" s="379" t="s">
        <v>2331</v>
      </c>
      <c r="C646" s="1823" t="s">
        <v>2184</v>
      </c>
      <c r="D646" s="379" t="s">
        <v>3422</v>
      </c>
      <c r="E646" s="1168">
        <v>0</v>
      </c>
      <c r="F646" s="1168">
        <v>724000</v>
      </c>
      <c r="G646" s="1168">
        <v>723059</v>
      </c>
      <c r="H646" s="1168">
        <v>941</v>
      </c>
    </row>
    <row r="647" spans="1:8" ht="12.75">
      <c r="A647" s="1822" t="s">
        <v>2332</v>
      </c>
      <c r="B647" s="379" t="s">
        <v>2333</v>
      </c>
      <c r="C647" s="1823" t="s">
        <v>2541</v>
      </c>
      <c r="D647" s="379" t="s">
        <v>3422</v>
      </c>
      <c r="E647" s="1168">
        <v>0</v>
      </c>
      <c r="F647" s="1168">
        <v>323000</v>
      </c>
      <c r="G647" s="1168">
        <v>322335</v>
      </c>
      <c r="H647" s="1168">
        <v>665</v>
      </c>
    </row>
    <row r="648" spans="1:8" ht="12.75">
      <c r="A648" s="1822" t="s">
        <v>2334</v>
      </c>
      <c r="B648" s="379" t="s">
        <v>2335</v>
      </c>
      <c r="C648" s="1823" t="s">
        <v>2193</v>
      </c>
      <c r="D648" s="379" t="s">
        <v>3422</v>
      </c>
      <c r="E648" s="1168">
        <v>0</v>
      </c>
      <c r="F648" s="1168">
        <v>637000</v>
      </c>
      <c r="G648" s="1168">
        <v>636412</v>
      </c>
      <c r="H648" s="1168">
        <v>588</v>
      </c>
    </row>
    <row r="649" spans="1:8" ht="12.75">
      <c r="A649" s="1822" t="s">
        <v>2336</v>
      </c>
      <c r="B649" s="379" t="s">
        <v>2187</v>
      </c>
      <c r="C649" s="1823" t="s">
        <v>2561</v>
      </c>
      <c r="D649" s="379" t="s">
        <v>3422</v>
      </c>
      <c r="E649" s="1168">
        <v>0</v>
      </c>
      <c r="F649" s="1168">
        <v>437000</v>
      </c>
      <c r="G649" s="1168">
        <v>418713.5</v>
      </c>
      <c r="H649" s="1168">
        <v>18286.5</v>
      </c>
    </row>
    <row r="650" spans="1:8" ht="12.75">
      <c r="A650" s="1822" t="s">
        <v>2337</v>
      </c>
      <c r="B650" s="379" t="s">
        <v>2187</v>
      </c>
      <c r="C650" s="1823" t="s">
        <v>2176</v>
      </c>
      <c r="D650" s="379" t="s">
        <v>3422</v>
      </c>
      <c r="E650" s="1168">
        <v>0</v>
      </c>
      <c r="F650" s="1168">
        <v>306000</v>
      </c>
      <c r="G650" s="1168">
        <v>305483</v>
      </c>
      <c r="H650" s="1168">
        <v>0</v>
      </c>
    </row>
    <row r="651" spans="1:8" ht="12.75">
      <c r="A651" s="1822" t="s">
        <v>2338</v>
      </c>
      <c r="B651" s="379" t="s">
        <v>2339</v>
      </c>
      <c r="C651" s="1823" t="s">
        <v>2176</v>
      </c>
      <c r="D651" s="379" t="s">
        <v>3422</v>
      </c>
      <c r="E651" s="1168">
        <v>0</v>
      </c>
      <c r="F651" s="1168">
        <v>1095000</v>
      </c>
      <c r="G651" s="1168">
        <v>801203</v>
      </c>
      <c r="H651" s="1168">
        <v>293000</v>
      </c>
    </row>
    <row r="652" spans="1:8" ht="12.75">
      <c r="A652" s="1822" t="s">
        <v>2340</v>
      </c>
      <c r="B652" s="379" t="s">
        <v>2341</v>
      </c>
      <c r="C652" s="1823" t="s">
        <v>2561</v>
      </c>
      <c r="D652" s="379" t="s">
        <v>3422</v>
      </c>
      <c r="E652" s="1168">
        <v>0</v>
      </c>
      <c r="F652" s="1168">
        <v>865000</v>
      </c>
      <c r="G652" s="1168">
        <v>0</v>
      </c>
      <c r="H652" s="1168">
        <v>865000</v>
      </c>
    </row>
    <row r="653" spans="1:8" ht="12.75">
      <c r="A653" s="1822" t="s">
        <v>2342</v>
      </c>
      <c r="B653" s="379" t="s">
        <v>1444</v>
      </c>
      <c r="C653" s="1823" t="s">
        <v>3436</v>
      </c>
      <c r="D653" s="379" t="s">
        <v>3423</v>
      </c>
      <c r="E653" s="1168">
        <v>0</v>
      </c>
      <c r="F653" s="1168">
        <v>2000000</v>
      </c>
      <c r="G653" s="1168">
        <v>0</v>
      </c>
      <c r="H653" s="1168">
        <v>2000000</v>
      </c>
    </row>
    <row r="654" spans="1:8" ht="12.75">
      <c r="A654" s="1822" t="s">
        <v>2343</v>
      </c>
      <c r="B654" s="379" t="s">
        <v>2344</v>
      </c>
      <c r="C654" s="1823" t="s">
        <v>3190</v>
      </c>
      <c r="D654" s="379" t="s">
        <v>3422</v>
      </c>
      <c r="E654" s="1168">
        <v>0</v>
      </c>
      <c r="F654" s="1168">
        <v>65000</v>
      </c>
      <c r="G654" s="1168">
        <v>0</v>
      </c>
      <c r="H654" s="1168">
        <v>65000</v>
      </c>
    </row>
    <row r="655" spans="1:8" ht="12.75">
      <c r="A655" s="1822" t="s">
        <v>2343</v>
      </c>
      <c r="B655" s="379" t="s">
        <v>2344</v>
      </c>
      <c r="C655" s="1823" t="s">
        <v>3190</v>
      </c>
      <c r="D655" s="379" t="s">
        <v>3423</v>
      </c>
      <c r="E655" s="1168">
        <v>0</v>
      </c>
      <c r="F655" s="1168">
        <v>55000</v>
      </c>
      <c r="G655" s="1168">
        <v>0</v>
      </c>
      <c r="H655" s="1168">
        <v>55000</v>
      </c>
    </row>
    <row r="656" spans="1:8" ht="12.75">
      <c r="A656" s="1822" t="s">
        <v>2345</v>
      </c>
      <c r="B656" s="379" t="s">
        <v>2346</v>
      </c>
      <c r="C656" s="1823" t="s">
        <v>3190</v>
      </c>
      <c r="D656" s="379" t="s">
        <v>3422</v>
      </c>
      <c r="E656" s="1168">
        <v>0</v>
      </c>
      <c r="F656" s="1168">
        <v>188000</v>
      </c>
      <c r="G656" s="1168">
        <v>187834</v>
      </c>
      <c r="H656" s="1168">
        <v>166</v>
      </c>
    </row>
    <row r="657" spans="1:8" ht="12.75">
      <c r="A657" s="1822" t="s">
        <v>2345</v>
      </c>
      <c r="B657" s="379" t="s">
        <v>2346</v>
      </c>
      <c r="C657" s="1823" t="s">
        <v>3190</v>
      </c>
      <c r="D657" s="379" t="s">
        <v>3423</v>
      </c>
      <c r="E657" s="1168">
        <v>0</v>
      </c>
      <c r="F657" s="1168">
        <v>57000</v>
      </c>
      <c r="G657" s="1168">
        <v>56554</v>
      </c>
      <c r="H657" s="1168">
        <v>446</v>
      </c>
    </row>
    <row r="658" spans="1:8" ht="12.75">
      <c r="A658" s="1822" t="s">
        <v>2347</v>
      </c>
      <c r="B658" s="379" t="s">
        <v>2348</v>
      </c>
      <c r="C658" s="1823" t="s">
        <v>3436</v>
      </c>
      <c r="D658" s="379" t="s">
        <v>3422</v>
      </c>
      <c r="E658" s="1168">
        <v>0</v>
      </c>
      <c r="F658" s="1168">
        <v>183000</v>
      </c>
      <c r="G658" s="1168">
        <v>0</v>
      </c>
      <c r="H658" s="1168">
        <v>183000</v>
      </c>
    </row>
    <row r="659" spans="1:8" ht="12.75">
      <c r="A659" s="1822" t="s">
        <v>2347</v>
      </c>
      <c r="B659" s="379" t="s">
        <v>2348</v>
      </c>
      <c r="C659" s="1823" t="s">
        <v>3436</v>
      </c>
      <c r="D659" s="379" t="s">
        <v>3423</v>
      </c>
      <c r="E659" s="1168">
        <v>0</v>
      </c>
      <c r="F659" s="1168">
        <v>10000</v>
      </c>
      <c r="G659" s="1168">
        <v>0</v>
      </c>
      <c r="H659" s="1168">
        <v>10000</v>
      </c>
    </row>
    <row r="660" spans="1:8" ht="12.75">
      <c r="A660" s="1822" t="s">
        <v>2349</v>
      </c>
      <c r="B660" s="379" t="s">
        <v>2350</v>
      </c>
      <c r="C660" s="1823" t="s">
        <v>2561</v>
      </c>
      <c r="D660" s="379" t="s">
        <v>3422</v>
      </c>
      <c r="E660" s="1168">
        <v>0</v>
      </c>
      <c r="F660" s="1168">
        <v>418000</v>
      </c>
      <c r="G660" s="1168">
        <v>0</v>
      </c>
      <c r="H660" s="1168">
        <v>418000</v>
      </c>
    </row>
    <row r="661" spans="1:8" s="174" customFormat="1" ht="12.75">
      <c r="A661" s="1824" t="s">
        <v>2351</v>
      </c>
      <c r="B661" s="1825"/>
      <c r="C661" s="1825"/>
      <c r="D661" s="1826"/>
      <c r="E661" s="1821">
        <v>47594000</v>
      </c>
      <c r="F661" s="1821">
        <v>118498000</v>
      </c>
      <c r="G661" s="1821">
        <v>86504372.63</v>
      </c>
      <c r="H661" s="1821">
        <v>31988223.76</v>
      </c>
    </row>
    <row r="662" spans="1:8" ht="12.75">
      <c r="A662" s="1822" t="s">
        <v>2352</v>
      </c>
      <c r="B662" s="379" t="s">
        <v>2353</v>
      </c>
      <c r="C662" s="1823" t="s">
        <v>3190</v>
      </c>
      <c r="D662" s="379" t="s">
        <v>3422</v>
      </c>
      <c r="E662" s="1168">
        <v>0</v>
      </c>
      <c r="F662" s="1168">
        <v>1365000</v>
      </c>
      <c r="G662" s="1168">
        <v>31200</v>
      </c>
      <c r="H662" s="1168">
        <v>1333800</v>
      </c>
    </row>
    <row r="663" spans="1:8" ht="12.75">
      <c r="A663" s="1822" t="s">
        <v>2354</v>
      </c>
      <c r="B663" s="379" t="s">
        <v>2355</v>
      </c>
      <c r="C663" s="1823" t="s">
        <v>3190</v>
      </c>
      <c r="D663" s="379" t="s">
        <v>3422</v>
      </c>
      <c r="E663" s="1168">
        <v>4000000</v>
      </c>
      <c r="F663" s="1168">
        <v>5044000</v>
      </c>
      <c r="G663" s="1168">
        <v>5042666.4</v>
      </c>
      <c r="H663" s="1168">
        <v>1333</v>
      </c>
    </row>
    <row r="664" spans="1:8" ht="12.75">
      <c r="A664" s="1822" t="s">
        <v>2356</v>
      </c>
      <c r="B664" s="379" t="s">
        <v>2357</v>
      </c>
      <c r="C664" s="1823" t="s">
        <v>3190</v>
      </c>
      <c r="D664" s="379" t="s">
        <v>3422</v>
      </c>
      <c r="E664" s="1168">
        <v>8150000</v>
      </c>
      <c r="F664" s="1168">
        <v>6554000</v>
      </c>
      <c r="G664" s="1168">
        <v>6553741.65</v>
      </c>
      <c r="H664" s="1168">
        <v>258</v>
      </c>
    </row>
    <row r="665" spans="1:8" ht="12.75">
      <c r="A665" s="1822" t="s">
        <v>2358</v>
      </c>
      <c r="B665" s="379" t="s">
        <v>2359</v>
      </c>
      <c r="C665" s="1823" t="s">
        <v>3190</v>
      </c>
      <c r="D665" s="379" t="s">
        <v>3422</v>
      </c>
      <c r="E665" s="1168">
        <v>0</v>
      </c>
      <c r="F665" s="1168">
        <v>193000</v>
      </c>
      <c r="G665" s="1168">
        <v>192334.6</v>
      </c>
      <c r="H665" s="1168">
        <v>665</v>
      </c>
    </row>
    <row r="666" spans="1:8" ht="12.75">
      <c r="A666" s="1822" t="s">
        <v>2360</v>
      </c>
      <c r="B666" s="379" t="s">
        <v>2361</v>
      </c>
      <c r="C666" s="1823" t="s">
        <v>3190</v>
      </c>
      <c r="D666" s="379" t="s">
        <v>3422</v>
      </c>
      <c r="E666" s="1168">
        <v>0</v>
      </c>
      <c r="F666" s="1168">
        <v>14547000</v>
      </c>
      <c r="G666" s="1168">
        <v>14256413</v>
      </c>
      <c r="H666" s="1168">
        <v>290587</v>
      </c>
    </row>
    <row r="667" spans="1:8" ht="12.75">
      <c r="A667" s="1822" t="s">
        <v>2362</v>
      </c>
      <c r="B667" s="379" t="s">
        <v>2363</v>
      </c>
      <c r="C667" s="1823" t="s">
        <v>2169</v>
      </c>
      <c r="D667" s="379" t="s">
        <v>3422</v>
      </c>
      <c r="E667" s="1168">
        <v>0</v>
      </c>
      <c r="F667" s="1168">
        <v>318000</v>
      </c>
      <c r="G667" s="1168">
        <v>318000</v>
      </c>
      <c r="H667" s="1168">
        <v>0</v>
      </c>
    </row>
    <row r="668" spans="1:8" ht="12.75">
      <c r="A668" s="1822" t="s">
        <v>2364</v>
      </c>
      <c r="B668" s="379" t="s">
        <v>2365</v>
      </c>
      <c r="C668" s="1823" t="s">
        <v>2169</v>
      </c>
      <c r="D668" s="379" t="s">
        <v>3422</v>
      </c>
      <c r="E668" s="1168">
        <v>35000000</v>
      </c>
      <c r="F668" s="1168">
        <v>3523000</v>
      </c>
      <c r="G668" s="1168">
        <v>0</v>
      </c>
      <c r="H668" s="1168">
        <v>3523000</v>
      </c>
    </row>
    <row r="669" spans="1:8" ht="12.75">
      <c r="A669" s="1822" t="s">
        <v>2366</v>
      </c>
      <c r="B669" s="379" t="s">
        <v>2367</v>
      </c>
      <c r="C669" s="1823" t="s">
        <v>2169</v>
      </c>
      <c r="D669" s="379" t="s">
        <v>3422</v>
      </c>
      <c r="E669" s="1168">
        <v>3000000</v>
      </c>
      <c r="F669" s="1168">
        <v>4839000</v>
      </c>
      <c r="G669" s="1168">
        <v>4838312.3</v>
      </c>
      <c r="H669" s="1168">
        <v>0</v>
      </c>
    </row>
    <row r="670" spans="1:8" ht="12.75">
      <c r="A670" s="1822" t="s">
        <v>2368</v>
      </c>
      <c r="B670" s="379" t="s">
        <v>2369</v>
      </c>
      <c r="C670" s="1823" t="s">
        <v>2169</v>
      </c>
      <c r="D670" s="379" t="s">
        <v>3422</v>
      </c>
      <c r="E670" s="1168">
        <v>0</v>
      </c>
      <c r="F670" s="1168">
        <v>10864000</v>
      </c>
      <c r="G670" s="1168">
        <v>10863584.5</v>
      </c>
      <c r="H670" s="1168">
        <v>0</v>
      </c>
    </row>
    <row r="671" spans="1:8" ht="12.75">
      <c r="A671" s="1822" t="s">
        <v>2370</v>
      </c>
      <c r="B671" s="379" t="s">
        <v>2371</v>
      </c>
      <c r="C671" s="1823" t="s">
        <v>2169</v>
      </c>
      <c r="D671" s="379" t="s">
        <v>3422</v>
      </c>
      <c r="E671" s="1168">
        <v>19200000</v>
      </c>
      <c r="F671" s="1168">
        <v>1401000</v>
      </c>
      <c r="G671" s="1168">
        <v>0</v>
      </c>
      <c r="H671" s="1168">
        <v>1401000</v>
      </c>
    </row>
    <row r="672" spans="1:8" ht="12.75">
      <c r="A672" s="1822" t="s">
        <v>2372</v>
      </c>
      <c r="B672" s="379" t="s">
        <v>2373</v>
      </c>
      <c r="C672" s="1823" t="s">
        <v>2532</v>
      </c>
      <c r="D672" s="379" t="s">
        <v>3422</v>
      </c>
      <c r="E672" s="1168">
        <v>9538000</v>
      </c>
      <c r="F672" s="1168">
        <v>3793000</v>
      </c>
      <c r="G672" s="1168">
        <v>547945.51</v>
      </c>
      <c r="H672" s="1168">
        <v>3245000</v>
      </c>
    </row>
    <row r="673" spans="1:8" ht="12.75">
      <c r="A673" s="1822" t="s">
        <v>2374</v>
      </c>
      <c r="B673" s="379" t="s">
        <v>2375</v>
      </c>
      <c r="C673" s="1823" t="s">
        <v>2532</v>
      </c>
      <c r="D673" s="379" t="s">
        <v>3422</v>
      </c>
      <c r="E673" s="1168">
        <v>25000000</v>
      </c>
      <c r="F673" s="1168">
        <v>10500000</v>
      </c>
      <c r="G673" s="1168">
        <v>2997560</v>
      </c>
      <c r="H673" s="1168">
        <v>7502000</v>
      </c>
    </row>
    <row r="674" spans="1:8" ht="12.75">
      <c r="A674" s="1822" t="s">
        <v>2376</v>
      </c>
      <c r="B674" s="379" t="s">
        <v>2377</v>
      </c>
      <c r="C674" s="1823" t="s">
        <v>2541</v>
      </c>
      <c r="D674" s="379" t="s">
        <v>3422</v>
      </c>
      <c r="E674" s="1168">
        <v>15000000</v>
      </c>
      <c r="F674" s="1168">
        <v>2452000</v>
      </c>
      <c r="G674" s="1168">
        <v>189420</v>
      </c>
      <c r="H674" s="1168">
        <v>2262580</v>
      </c>
    </row>
    <row r="675" spans="1:8" ht="12.75">
      <c r="A675" s="1822" t="s">
        <v>2378</v>
      </c>
      <c r="B675" s="379" t="s">
        <v>2379</v>
      </c>
      <c r="C675" s="1823" t="s">
        <v>2541</v>
      </c>
      <c r="D675" s="379" t="s">
        <v>3422</v>
      </c>
      <c r="E675" s="1168">
        <v>4899000</v>
      </c>
      <c r="F675" s="1168">
        <v>12686000</v>
      </c>
      <c r="G675" s="1168">
        <v>12666790</v>
      </c>
      <c r="H675" s="1168">
        <v>19210</v>
      </c>
    </row>
    <row r="676" spans="1:8" ht="12.75">
      <c r="A676" s="1822" t="s">
        <v>2378</v>
      </c>
      <c r="B676" s="379" t="s">
        <v>2379</v>
      </c>
      <c r="C676" s="1823" t="s">
        <v>2541</v>
      </c>
      <c r="D676" s="379" t="s">
        <v>3423</v>
      </c>
      <c r="E676" s="1168">
        <v>0</v>
      </c>
      <c r="F676" s="1168">
        <v>284000</v>
      </c>
      <c r="G676" s="1168">
        <v>283354</v>
      </c>
      <c r="H676" s="1168">
        <v>646</v>
      </c>
    </row>
    <row r="677" spans="1:8" ht="12.75">
      <c r="A677" s="1822" t="s">
        <v>2380</v>
      </c>
      <c r="B677" s="379" t="s">
        <v>2381</v>
      </c>
      <c r="C677" s="1823" t="s">
        <v>2541</v>
      </c>
      <c r="D677" s="379" t="s">
        <v>3422</v>
      </c>
      <c r="E677" s="1168">
        <v>5400000</v>
      </c>
      <c r="F677" s="1168">
        <v>10714000</v>
      </c>
      <c r="G677" s="1168">
        <v>10713825</v>
      </c>
      <c r="H677" s="1168">
        <v>175</v>
      </c>
    </row>
    <row r="678" spans="1:8" ht="12.75">
      <c r="A678" s="1822" t="s">
        <v>2380</v>
      </c>
      <c r="B678" s="379" t="s">
        <v>2381</v>
      </c>
      <c r="C678" s="1823" t="s">
        <v>2541</v>
      </c>
      <c r="D678" s="379" t="s">
        <v>3423</v>
      </c>
      <c r="E678" s="1168">
        <v>0</v>
      </c>
      <c r="F678" s="1168">
        <v>373000</v>
      </c>
      <c r="G678" s="1168">
        <v>372172.5</v>
      </c>
      <c r="H678" s="1168">
        <v>827</v>
      </c>
    </row>
    <row r="679" spans="1:8" ht="12.75">
      <c r="A679" s="1822" t="s">
        <v>2382</v>
      </c>
      <c r="B679" s="379" t="s">
        <v>2383</v>
      </c>
      <c r="C679" s="1823" t="s">
        <v>2176</v>
      </c>
      <c r="D679" s="379" t="s">
        <v>3422</v>
      </c>
      <c r="E679" s="1168">
        <v>42000000</v>
      </c>
      <c r="F679" s="1168">
        <v>3045000</v>
      </c>
      <c r="G679" s="1168">
        <v>2982219.8</v>
      </c>
      <c r="H679" s="1168">
        <v>62780.2</v>
      </c>
    </row>
    <row r="680" spans="1:8" ht="12.75">
      <c r="A680" s="1822" t="s">
        <v>2384</v>
      </c>
      <c r="B680" s="379" t="s">
        <v>2385</v>
      </c>
      <c r="C680" s="1823" t="s">
        <v>2176</v>
      </c>
      <c r="D680" s="379" t="s">
        <v>3422</v>
      </c>
      <c r="E680" s="1168">
        <v>8500000</v>
      </c>
      <c r="F680" s="1168">
        <v>2500000</v>
      </c>
      <c r="G680" s="1168">
        <v>0</v>
      </c>
      <c r="H680" s="1168">
        <v>2500000</v>
      </c>
    </row>
    <row r="681" spans="1:8" ht="12.75">
      <c r="A681" s="1822" t="s">
        <v>2386</v>
      </c>
      <c r="B681" s="379" t="s">
        <v>2387</v>
      </c>
      <c r="C681" s="1823" t="s">
        <v>2176</v>
      </c>
      <c r="D681" s="379" t="s">
        <v>3422</v>
      </c>
      <c r="E681" s="1168">
        <v>0</v>
      </c>
      <c r="F681" s="1168">
        <v>1453000</v>
      </c>
      <c r="G681" s="1168">
        <v>5300</v>
      </c>
      <c r="H681" s="1168">
        <v>1447700</v>
      </c>
    </row>
    <row r="682" spans="1:8" ht="12.75">
      <c r="A682" s="1822" t="s">
        <v>2388</v>
      </c>
      <c r="B682" s="379" t="s">
        <v>2389</v>
      </c>
      <c r="C682" s="1823" t="s">
        <v>2176</v>
      </c>
      <c r="D682" s="379" t="s">
        <v>3422</v>
      </c>
      <c r="E682" s="1168">
        <v>0</v>
      </c>
      <c r="F682" s="1168">
        <v>1429000</v>
      </c>
      <c r="G682" s="1168">
        <v>0</v>
      </c>
      <c r="H682" s="1168">
        <v>1429000</v>
      </c>
    </row>
    <row r="683" spans="1:8" ht="12.75">
      <c r="A683" s="1822" t="s">
        <v>2390</v>
      </c>
      <c r="B683" s="379" t="s">
        <v>2391</v>
      </c>
      <c r="C683" s="1823" t="s">
        <v>2176</v>
      </c>
      <c r="D683" s="379" t="s">
        <v>3422</v>
      </c>
      <c r="E683" s="1168">
        <v>1500000</v>
      </c>
      <c r="F683" s="1168">
        <v>504000</v>
      </c>
      <c r="G683" s="1168">
        <v>0</v>
      </c>
      <c r="H683" s="1168">
        <v>504000</v>
      </c>
    </row>
    <row r="684" spans="1:8" ht="12.75">
      <c r="A684" s="1822" t="s">
        <v>2392</v>
      </c>
      <c r="B684" s="379" t="s">
        <v>2393</v>
      </c>
      <c r="C684" s="1823" t="s">
        <v>2176</v>
      </c>
      <c r="D684" s="379" t="s">
        <v>3422</v>
      </c>
      <c r="E684" s="1168">
        <v>14000000</v>
      </c>
      <c r="F684" s="1168">
        <v>1000000</v>
      </c>
      <c r="G684" s="1168">
        <v>0</v>
      </c>
      <c r="H684" s="1168">
        <v>1000000</v>
      </c>
    </row>
    <row r="685" spans="1:8" ht="12.75">
      <c r="A685" s="1822" t="s">
        <v>2394</v>
      </c>
      <c r="B685" s="379" t="s">
        <v>2395</v>
      </c>
      <c r="C685" s="1823" t="s">
        <v>2176</v>
      </c>
      <c r="D685" s="379" t="s">
        <v>3422</v>
      </c>
      <c r="E685" s="1168">
        <v>0</v>
      </c>
      <c r="F685" s="1168">
        <v>1045000</v>
      </c>
      <c r="G685" s="1168">
        <v>943823</v>
      </c>
      <c r="H685" s="1168">
        <v>101177</v>
      </c>
    </row>
    <row r="686" spans="1:8" ht="12.75">
      <c r="A686" s="1822" t="s">
        <v>2396</v>
      </c>
      <c r="B686" s="379" t="s">
        <v>2397</v>
      </c>
      <c r="C686" s="1823" t="s">
        <v>2176</v>
      </c>
      <c r="D686" s="379" t="s">
        <v>3422</v>
      </c>
      <c r="E686" s="1168">
        <v>0</v>
      </c>
      <c r="F686" s="1168">
        <v>1900000</v>
      </c>
      <c r="G686" s="1168">
        <v>0</v>
      </c>
      <c r="H686" s="1168">
        <v>1900000</v>
      </c>
    </row>
    <row r="687" spans="1:8" ht="12.75">
      <c r="A687" s="1822">
        <v>2141120081</v>
      </c>
      <c r="B687" s="379" t="s">
        <v>2398</v>
      </c>
      <c r="C687" s="1823" t="s">
        <v>2184</v>
      </c>
      <c r="D687" s="379" t="s">
        <v>3422</v>
      </c>
      <c r="E687" s="1168">
        <v>1800000</v>
      </c>
      <c r="F687" s="1168">
        <v>0</v>
      </c>
      <c r="G687" s="1168">
        <v>0</v>
      </c>
      <c r="H687" s="1168">
        <v>0</v>
      </c>
    </row>
    <row r="688" spans="1:8" ht="12.75">
      <c r="A688" s="1822">
        <v>2141120082</v>
      </c>
      <c r="B688" s="379" t="s">
        <v>2399</v>
      </c>
      <c r="C688" s="1823" t="s">
        <v>2184</v>
      </c>
      <c r="D688" s="379" t="s">
        <v>3422</v>
      </c>
      <c r="E688" s="1168">
        <v>900000</v>
      </c>
      <c r="F688" s="1168">
        <v>0</v>
      </c>
      <c r="G688" s="1168">
        <v>0</v>
      </c>
      <c r="H688" s="1168">
        <v>0</v>
      </c>
    </row>
    <row r="689" spans="1:8" ht="12.75">
      <c r="A689" s="1822" t="s">
        <v>2400</v>
      </c>
      <c r="B689" s="379" t="s">
        <v>2401</v>
      </c>
      <c r="C689" s="1823" t="s">
        <v>2184</v>
      </c>
      <c r="D689" s="379" t="s">
        <v>3422</v>
      </c>
      <c r="E689" s="1168">
        <v>4000000</v>
      </c>
      <c r="F689" s="1168">
        <v>7758000</v>
      </c>
      <c r="G689" s="1168">
        <v>7755743</v>
      </c>
      <c r="H689" s="1168">
        <v>2257</v>
      </c>
    </row>
    <row r="690" spans="1:8" ht="12.75">
      <c r="A690" s="1822" t="s">
        <v>2402</v>
      </c>
      <c r="B690" s="379" t="s">
        <v>2403</v>
      </c>
      <c r="C690" s="1823" t="s">
        <v>2184</v>
      </c>
      <c r="D690" s="379" t="s">
        <v>3422</v>
      </c>
      <c r="E690" s="1168">
        <v>4000000</v>
      </c>
      <c r="F690" s="1168">
        <v>6759000</v>
      </c>
      <c r="G690" s="1168">
        <v>6757575</v>
      </c>
      <c r="H690" s="1168">
        <v>1425</v>
      </c>
    </row>
    <row r="691" spans="1:8" ht="12.75">
      <c r="A691" s="1822" t="s">
        <v>2404</v>
      </c>
      <c r="B691" s="379" t="s">
        <v>2405</v>
      </c>
      <c r="C691" s="1823" t="s">
        <v>2184</v>
      </c>
      <c r="D691" s="379" t="s">
        <v>3422</v>
      </c>
      <c r="E691" s="1168">
        <v>7600000</v>
      </c>
      <c r="F691" s="1168">
        <v>8547000</v>
      </c>
      <c r="G691" s="1168">
        <v>3999999</v>
      </c>
      <c r="H691" s="1168">
        <v>4547001</v>
      </c>
    </row>
    <row r="692" spans="1:8" ht="12.75">
      <c r="A692" s="1822" t="s">
        <v>2406</v>
      </c>
      <c r="B692" s="379" t="s">
        <v>2407</v>
      </c>
      <c r="C692" s="1823" t="s">
        <v>2235</v>
      </c>
      <c r="D692" s="379" t="s">
        <v>3422</v>
      </c>
      <c r="E692" s="1168">
        <v>15489000</v>
      </c>
      <c r="F692" s="1168">
        <v>9085000</v>
      </c>
      <c r="G692" s="1168">
        <v>4091000</v>
      </c>
      <c r="H692" s="1168">
        <v>4994000</v>
      </c>
    </row>
    <row r="693" spans="1:8" ht="12.75">
      <c r="A693" s="1822" t="s">
        <v>2408</v>
      </c>
      <c r="B693" s="379" t="s">
        <v>2409</v>
      </c>
      <c r="C693" s="1823" t="s">
        <v>2235</v>
      </c>
      <c r="D693" s="379" t="s">
        <v>3422</v>
      </c>
      <c r="E693" s="1168">
        <v>0</v>
      </c>
      <c r="F693" s="1168">
        <v>4307000</v>
      </c>
      <c r="G693" s="1168">
        <v>4301514.5</v>
      </c>
      <c r="H693" s="1168">
        <v>5485</v>
      </c>
    </row>
    <row r="694" spans="1:8" ht="12.75">
      <c r="A694" s="1822" t="s">
        <v>2410</v>
      </c>
      <c r="B694" s="379" t="s">
        <v>2411</v>
      </c>
      <c r="C694" s="1823" t="s">
        <v>2235</v>
      </c>
      <c r="D694" s="379" t="s">
        <v>3422</v>
      </c>
      <c r="E694" s="1168">
        <v>4880000</v>
      </c>
      <c r="F694" s="1168">
        <v>11446000</v>
      </c>
      <c r="G694" s="1168">
        <v>11445934.9</v>
      </c>
      <c r="H694" s="1168">
        <v>65</v>
      </c>
    </row>
    <row r="695" spans="1:8" ht="12.75">
      <c r="A695" s="1822" t="s">
        <v>2412</v>
      </c>
      <c r="B695" s="379" t="s">
        <v>2413</v>
      </c>
      <c r="C695" s="1823" t="s">
        <v>2235</v>
      </c>
      <c r="D695" s="379" t="s">
        <v>3422</v>
      </c>
      <c r="E695" s="1168">
        <v>9466000</v>
      </c>
      <c r="F695" s="1168">
        <v>10159000</v>
      </c>
      <c r="G695" s="1168">
        <v>10158306</v>
      </c>
      <c r="H695" s="1168">
        <v>694</v>
      </c>
    </row>
    <row r="696" spans="1:8" ht="12.75">
      <c r="A696" s="1822" t="s">
        <v>2414</v>
      </c>
      <c r="B696" s="379" t="s">
        <v>2415</v>
      </c>
      <c r="C696" s="1823" t="s">
        <v>2561</v>
      </c>
      <c r="D696" s="379" t="s">
        <v>3422</v>
      </c>
      <c r="E696" s="1168">
        <v>29000000</v>
      </c>
      <c r="F696" s="1168">
        <v>2036000</v>
      </c>
      <c r="G696" s="1168">
        <v>1568586.6</v>
      </c>
      <c r="H696" s="1168">
        <v>467413.4</v>
      </c>
    </row>
    <row r="697" spans="1:8" ht="12.75">
      <c r="A697" s="1822" t="s">
        <v>2416</v>
      </c>
      <c r="B697" s="379" t="s">
        <v>2417</v>
      </c>
      <c r="C697" s="1823" t="s">
        <v>2561</v>
      </c>
      <c r="D697" s="379" t="s">
        <v>3422</v>
      </c>
      <c r="E697" s="1168">
        <v>16594000</v>
      </c>
      <c r="F697" s="1168">
        <v>12539000</v>
      </c>
      <c r="G697" s="1168">
        <v>12538770.5</v>
      </c>
      <c r="H697" s="1168">
        <v>229.5</v>
      </c>
    </row>
    <row r="698" spans="1:8" ht="12.75">
      <c r="A698" s="1822" t="s">
        <v>2418</v>
      </c>
      <c r="B698" s="379" t="s">
        <v>2419</v>
      </c>
      <c r="C698" s="1823" t="s">
        <v>2561</v>
      </c>
      <c r="D698" s="379" t="s">
        <v>3422</v>
      </c>
      <c r="E698" s="1168">
        <v>20000000</v>
      </c>
      <c r="F698" s="1168">
        <v>32435000</v>
      </c>
      <c r="G698" s="1168">
        <v>32435000</v>
      </c>
      <c r="H698" s="1168">
        <v>0</v>
      </c>
    </row>
    <row r="699" spans="1:8" ht="12.75">
      <c r="A699" s="1822" t="s">
        <v>2420</v>
      </c>
      <c r="B699" s="379" t="s">
        <v>2421</v>
      </c>
      <c r="C699" s="1823" t="s">
        <v>2561</v>
      </c>
      <c r="D699" s="379" t="s">
        <v>3422</v>
      </c>
      <c r="E699" s="1168">
        <v>0</v>
      </c>
      <c r="F699" s="1168">
        <v>11870000</v>
      </c>
      <c r="G699" s="1168">
        <v>11869463</v>
      </c>
      <c r="H699" s="1168">
        <v>537</v>
      </c>
    </row>
    <row r="700" spans="1:8" ht="12.75">
      <c r="A700" s="1822" t="s">
        <v>2422</v>
      </c>
      <c r="B700" s="379" t="s">
        <v>2423</v>
      </c>
      <c r="C700" s="1823" t="s">
        <v>2561</v>
      </c>
      <c r="D700" s="379" t="s">
        <v>3422</v>
      </c>
      <c r="E700" s="1168">
        <v>0</v>
      </c>
      <c r="F700" s="1168">
        <v>1886000</v>
      </c>
      <c r="G700" s="1168">
        <v>1885978.7</v>
      </c>
      <c r="H700" s="1168">
        <v>21.3</v>
      </c>
    </row>
    <row r="701" spans="1:8" ht="12.75">
      <c r="A701" s="1822" t="s">
        <v>2424</v>
      </c>
      <c r="B701" s="379" t="s">
        <v>2425</v>
      </c>
      <c r="C701" s="1823" t="s">
        <v>2561</v>
      </c>
      <c r="D701" s="379" t="s">
        <v>3422</v>
      </c>
      <c r="E701" s="1168">
        <v>0</v>
      </c>
      <c r="F701" s="1168">
        <v>192000</v>
      </c>
      <c r="G701" s="1168">
        <v>191803.1</v>
      </c>
      <c r="H701" s="1168">
        <v>196.9</v>
      </c>
    </row>
    <row r="702" spans="1:8" ht="12.75">
      <c r="A702" s="1822" t="s">
        <v>2426</v>
      </c>
      <c r="B702" s="379" t="s">
        <v>2427</v>
      </c>
      <c r="C702" s="1823" t="s">
        <v>2561</v>
      </c>
      <c r="D702" s="379" t="s">
        <v>3422</v>
      </c>
      <c r="E702" s="1168">
        <v>0</v>
      </c>
      <c r="F702" s="1168">
        <v>33000</v>
      </c>
      <c r="G702" s="1168">
        <v>32387</v>
      </c>
      <c r="H702" s="1168">
        <v>613</v>
      </c>
    </row>
    <row r="703" spans="1:8" ht="12.75">
      <c r="A703" s="1822" t="s">
        <v>2428</v>
      </c>
      <c r="B703" s="379" t="s">
        <v>2429</v>
      </c>
      <c r="C703" s="1823" t="s">
        <v>2561</v>
      </c>
      <c r="D703" s="379" t="s">
        <v>3422</v>
      </c>
      <c r="E703" s="1168">
        <v>0</v>
      </c>
      <c r="F703" s="1168">
        <v>39000</v>
      </c>
      <c r="G703" s="1168">
        <v>38902</v>
      </c>
      <c r="H703" s="1168">
        <v>98</v>
      </c>
    </row>
    <row r="704" spans="1:8" ht="12.75">
      <c r="A704" s="1822" t="s">
        <v>2430</v>
      </c>
      <c r="B704" s="379" t="s">
        <v>2431</v>
      </c>
      <c r="C704" s="1823" t="s">
        <v>2561</v>
      </c>
      <c r="D704" s="379" t="s">
        <v>3422</v>
      </c>
      <c r="E704" s="1168">
        <v>0</v>
      </c>
      <c r="F704" s="1168">
        <v>37000</v>
      </c>
      <c r="G704" s="1168">
        <v>36858</v>
      </c>
      <c r="H704" s="1168">
        <v>142</v>
      </c>
    </row>
    <row r="705" spans="1:8" ht="12.75">
      <c r="A705" s="1822" t="s">
        <v>2432</v>
      </c>
      <c r="B705" s="379" t="s">
        <v>2433</v>
      </c>
      <c r="C705" s="1823" t="s">
        <v>2561</v>
      </c>
      <c r="D705" s="379" t="s">
        <v>3422</v>
      </c>
      <c r="E705" s="1168">
        <v>0</v>
      </c>
      <c r="F705" s="1168">
        <v>29000</v>
      </c>
      <c r="G705" s="1168">
        <v>28195</v>
      </c>
      <c r="H705" s="1168">
        <v>805</v>
      </c>
    </row>
    <row r="706" spans="1:8" ht="12.75">
      <c r="A706" s="1822" t="s">
        <v>2434</v>
      </c>
      <c r="B706" s="379" t="s">
        <v>2435</v>
      </c>
      <c r="C706" s="1823" t="s">
        <v>2193</v>
      </c>
      <c r="D706" s="379" t="s">
        <v>3422</v>
      </c>
      <c r="E706" s="1168">
        <v>0</v>
      </c>
      <c r="F706" s="1168">
        <v>1324000</v>
      </c>
      <c r="G706" s="1168">
        <v>1323100</v>
      </c>
      <c r="H706" s="1168">
        <v>900</v>
      </c>
    </row>
    <row r="707" spans="1:8" ht="12.75">
      <c r="A707" s="1822" t="s">
        <v>2434</v>
      </c>
      <c r="B707" s="379" t="s">
        <v>2435</v>
      </c>
      <c r="C707" s="1823" t="s">
        <v>2193</v>
      </c>
      <c r="D707" s="379" t="s">
        <v>3422</v>
      </c>
      <c r="E707" s="1168">
        <v>83000000</v>
      </c>
      <c r="F707" s="1168">
        <v>10676000</v>
      </c>
      <c r="G707" s="1168">
        <v>0</v>
      </c>
      <c r="H707" s="1168">
        <v>10676000</v>
      </c>
    </row>
    <row r="708" spans="1:8" ht="12.75">
      <c r="A708" s="1822" t="s">
        <v>2436</v>
      </c>
      <c r="B708" s="379" t="s">
        <v>2437</v>
      </c>
      <c r="C708" s="1823" t="s">
        <v>2193</v>
      </c>
      <c r="D708" s="379" t="s">
        <v>3422</v>
      </c>
      <c r="E708" s="1168">
        <v>0</v>
      </c>
      <c r="F708" s="1168">
        <v>24319000</v>
      </c>
      <c r="G708" s="1168">
        <v>24317730.38</v>
      </c>
      <c r="H708" s="1168">
        <v>1260</v>
      </c>
    </row>
    <row r="709" spans="1:8" ht="12.75">
      <c r="A709" s="1822" t="s">
        <v>2438</v>
      </c>
      <c r="B709" s="379" t="s">
        <v>2439</v>
      </c>
      <c r="C709" s="1823" t="s">
        <v>2193</v>
      </c>
      <c r="D709" s="379" t="s">
        <v>3422</v>
      </c>
      <c r="E709" s="1168">
        <v>0</v>
      </c>
      <c r="F709" s="1168">
        <v>12741000</v>
      </c>
      <c r="G709" s="1168">
        <v>3413408</v>
      </c>
      <c r="H709" s="1168">
        <v>9327500</v>
      </c>
    </row>
    <row r="710" spans="1:8" ht="12.75">
      <c r="A710" s="1822" t="s">
        <v>2440</v>
      </c>
      <c r="B710" s="379" t="s">
        <v>2441</v>
      </c>
      <c r="C710" s="1823" t="s">
        <v>2176</v>
      </c>
      <c r="D710" s="379" t="s">
        <v>3422</v>
      </c>
      <c r="E710" s="1168">
        <v>0</v>
      </c>
      <c r="F710" s="1168">
        <v>128000</v>
      </c>
      <c r="G710" s="1168">
        <v>127199</v>
      </c>
      <c r="H710" s="1168">
        <v>0</v>
      </c>
    </row>
    <row r="711" spans="1:8" ht="12.75">
      <c r="A711" s="1822" t="s">
        <v>2442</v>
      </c>
      <c r="B711" s="379" t="s">
        <v>2443</v>
      </c>
      <c r="C711" s="1823" t="s">
        <v>2561</v>
      </c>
      <c r="D711" s="379" t="s">
        <v>3422</v>
      </c>
      <c r="E711" s="1168">
        <v>5000000</v>
      </c>
      <c r="F711" s="1168">
        <v>1147000</v>
      </c>
      <c r="G711" s="1168">
        <v>1146054</v>
      </c>
      <c r="H711" s="1168">
        <v>946</v>
      </c>
    </row>
    <row r="712" spans="1:8" ht="12.75">
      <c r="A712" s="1822" t="s">
        <v>2444</v>
      </c>
      <c r="B712" s="379" t="s">
        <v>2445</v>
      </c>
      <c r="C712" s="1823" t="s">
        <v>2446</v>
      </c>
      <c r="D712" s="379" t="s">
        <v>3422</v>
      </c>
      <c r="E712" s="1168">
        <v>0</v>
      </c>
      <c r="F712" s="1168">
        <v>0</v>
      </c>
      <c r="G712" s="1168">
        <v>3993213</v>
      </c>
      <c r="H712" s="1168">
        <v>0</v>
      </c>
    </row>
    <row r="713" spans="1:8" ht="12.75">
      <c r="A713" s="1822" t="s">
        <v>2447</v>
      </c>
      <c r="B713" s="379" t="s">
        <v>2448</v>
      </c>
      <c r="C713" s="1823" t="s">
        <v>2532</v>
      </c>
      <c r="D713" s="379" t="s">
        <v>3422</v>
      </c>
      <c r="E713" s="1168">
        <v>0</v>
      </c>
      <c r="F713" s="1168">
        <v>2288000</v>
      </c>
      <c r="G713" s="1168">
        <v>2287900.27</v>
      </c>
      <c r="H713" s="1168">
        <v>0</v>
      </c>
    </row>
    <row r="714" spans="1:8" ht="12.75">
      <c r="A714" s="1822" t="s">
        <v>2449</v>
      </c>
      <c r="B714" s="379" t="s">
        <v>2450</v>
      </c>
      <c r="C714" s="1823" t="s">
        <v>2235</v>
      </c>
      <c r="D714" s="379" t="s">
        <v>3422</v>
      </c>
      <c r="E714" s="1168">
        <v>0</v>
      </c>
      <c r="F714" s="1168">
        <v>1980000</v>
      </c>
      <c r="G714" s="1168">
        <v>255850</v>
      </c>
      <c r="H714" s="1168">
        <v>1724150</v>
      </c>
    </row>
    <row r="715" spans="1:8" ht="12.75">
      <c r="A715" s="1822" t="s">
        <v>2451</v>
      </c>
      <c r="B715" s="379" t="s">
        <v>2452</v>
      </c>
      <c r="C715" s="1823" t="s">
        <v>2235</v>
      </c>
      <c r="D715" s="379" t="s">
        <v>3422</v>
      </c>
      <c r="E715" s="1168">
        <v>6000000</v>
      </c>
      <c r="F715" s="1168">
        <v>13142000</v>
      </c>
      <c r="G715" s="1168">
        <v>1095272</v>
      </c>
      <c r="H715" s="1168">
        <v>12046728</v>
      </c>
    </row>
    <row r="716" spans="1:8" ht="12.75">
      <c r="A716" s="1822" t="s">
        <v>2453</v>
      </c>
      <c r="B716" s="379" t="s">
        <v>2454</v>
      </c>
      <c r="C716" s="1823" t="s">
        <v>2455</v>
      </c>
      <c r="D716" s="379" t="s">
        <v>3422</v>
      </c>
      <c r="E716" s="1168">
        <v>0</v>
      </c>
      <c r="F716" s="1168">
        <v>0</v>
      </c>
      <c r="G716" s="1168">
        <v>409500</v>
      </c>
      <c r="H716" s="1168">
        <v>0</v>
      </c>
    </row>
    <row r="717" spans="1:8" ht="12.75">
      <c r="A717" s="1822" t="s">
        <v>2456</v>
      </c>
      <c r="B717" s="379" t="s">
        <v>2457</v>
      </c>
      <c r="C717" s="1823" t="s">
        <v>2169</v>
      </c>
      <c r="D717" s="379" t="s">
        <v>3422</v>
      </c>
      <c r="E717" s="1168">
        <v>0</v>
      </c>
      <c r="F717" s="1168">
        <v>7660000</v>
      </c>
      <c r="G717" s="1168">
        <v>7660000</v>
      </c>
      <c r="H717" s="1168">
        <v>0</v>
      </c>
    </row>
    <row r="718" spans="1:8" ht="12.75">
      <c r="A718" s="1822" t="s">
        <v>2458</v>
      </c>
      <c r="B718" s="379" t="s">
        <v>2459</v>
      </c>
      <c r="C718" s="1823" t="s">
        <v>2532</v>
      </c>
      <c r="D718" s="379" t="s">
        <v>3422</v>
      </c>
      <c r="E718" s="1168">
        <v>3750000</v>
      </c>
      <c r="F718" s="1168">
        <v>2675000</v>
      </c>
      <c r="G718" s="1168">
        <v>2138888.88</v>
      </c>
      <c r="H718" s="1168">
        <v>536000</v>
      </c>
    </row>
    <row r="719" spans="1:8" ht="12.75">
      <c r="A719" s="1822" t="s">
        <v>2460</v>
      </c>
      <c r="B719" s="379" t="s">
        <v>2461</v>
      </c>
      <c r="C719" s="1823" t="s">
        <v>2176</v>
      </c>
      <c r="D719" s="379" t="s">
        <v>3422</v>
      </c>
      <c r="E719" s="1168">
        <v>3500000</v>
      </c>
      <c r="F719" s="1168">
        <v>4010000</v>
      </c>
      <c r="G719" s="1168">
        <v>119540</v>
      </c>
      <c r="H719" s="1168">
        <v>3890460</v>
      </c>
    </row>
    <row r="720" spans="1:8" ht="12.75">
      <c r="A720" s="1822" t="s">
        <v>2462</v>
      </c>
      <c r="B720" s="379" t="s">
        <v>2463</v>
      </c>
      <c r="C720" s="1823" t="s">
        <v>2176</v>
      </c>
      <c r="D720" s="379" t="s">
        <v>3422</v>
      </c>
      <c r="E720" s="1168">
        <v>0</v>
      </c>
      <c r="F720" s="1168">
        <v>2401000</v>
      </c>
      <c r="G720" s="1168">
        <v>47600</v>
      </c>
      <c r="H720" s="1168">
        <v>2353400</v>
      </c>
    </row>
    <row r="721" spans="1:8" ht="12.75">
      <c r="A721" s="1822" t="s">
        <v>2464</v>
      </c>
      <c r="B721" s="379" t="s">
        <v>2465</v>
      </c>
      <c r="C721" s="1823" t="s">
        <v>2561</v>
      </c>
      <c r="D721" s="379" t="s">
        <v>3422</v>
      </c>
      <c r="E721" s="1168">
        <v>0</v>
      </c>
      <c r="F721" s="1168">
        <v>2577000</v>
      </c>
      <c r="G721" s="1168">
        <v>2576627</v>
      </c>
      <c r="H721" s="1168">
        <v>373</v>
      </c>
    </row>
    <row r="722" spans="1:8" ht="12.75">
      <c r="A722" s="1822" t="s">
        <v>2466</v>
      </c>
      <c r="B722" s="379" t="s">
        <v>2467</v>
      </c>
      <c r="C722" s="1823" t="s">
        <v>2176</v>
      </c>
      <c r="D722" s="379" t="s">
        <v>3422</v>
      </c>
      <c r="E722" s="1168">
        <v>0</v>
      </c>
      <c r="F722" s="1168">
        <v>121000</v>
      </c>
      <c r="G722" s="1168">
        <v>120324</v>
      </c>
      <c r="H722" s="1168">
        <v>0</v>
      </c>
    </row>
    <row r="723" spans="1:8" ht="12.75">
      <c r="A723" s="1822" t="s">
        <v>2468</v>
      </c>
      <c r="B723" s="379" t="s">
        <v>2469</v>
      </c>
      <c r="C723" s="1823" t="s">
        <v>2176</v>
      </c>
      <c r="D723" s="379" t="s">
        <v>3422</v>
      </c>
      <c r="E723" s="1168">
        <v>0</v>
      </c>
      <c r="F723" s="1168">
        <v>3000</v>
      </c>
      <c r="G723" s="1168">
        <v>0</v>
      </c>
      <c r="H723" s="1168">
        <v>3000</v>
      </c>
    </row>
    <row r="724" spans="1:8" ht="12.75">
      <c r="A724" s="1822" t="s">
        <v>2470</v>
      </c>
      <c r="B724" s="379" t="s">
        <v>2471</v>
      </c>
      <c r="C724" s="1823" t="s">
        <v>2176</v>
      </c>
      <c r="D724" s="379" t="s">
        <v>3422</v>
      </c>
      <c r="E724" s="1168">
        <v>0</v>
      </c>
      <c r="F724" s="1168">
        <v>17000</v>
      </c>
      <c r="G724" s="1168">
        <v>0</v>
      </c>
      <c r="H724" s="1168">
        <v>17000</v>
      </c>
    </row>
    <row r="725" spans="1:8" ht="12.75">
      <c r="A725" s="1822" t="s">
        <v>2472</v>
      </c>
      <c r="B725" s="379" t="s">
        <v>2473</v>
      </c>
      <c r="C725" s="1823" t="s">
        <v>2235</v>
      </c>
      <c r="D725" s="379" t="s">
        <v>3422</v>
      </c>
      <c r="E725" s="1168">
        <v>0</v>
      </c>
      <c r="F725" s="1168">
        <v>1730000</v>
      </c>
      <c r="G725" s="1168">
        <v>1438063.9</v>
      </c>
      <c r="H725" s="1168">
        <v>291936</v>
      </c>
    </row>
    <row r="726" spans="1:8" ht="12.75">
      <c r="A726" s="1822" t="s">
        <v>2474</v>
      </c>
      <c r="B726" s="379" t="s">
        <v>2475</v>
      </c>
      <c r="C726" s="1823" t="s">
        <v>2561</v>
      </c>
      <c r="D726" s="379" t="s">
        <v>3422</v>
      </c>
      <c r="E726" s="1168">
        <v>0</v>
      </c>
      <c r="F726" s="1168">
        <v>70000</v>
      </c>
      <c r="G726" s="1168">
        <v>69982</v>
      </c>
      <c r="H726" s="1168">
        <v>18</v>
      </c>
    </row>
    <row r="727" spans="1:8" ht="12.75">
      <c r="A727" s="1822" t="s">
        <v>2476</v>
      </c>
      <c r="B727" s="379" t="s">
        <v>2477</v>
      </c>
      <c r="C727" s="1823" t="s">
        <v>2561</v>
      </c>
      <c r="D727" s="379" t="s">
        <v>3422</v>
      </c>
      <c r="E727" s="1168">
        <v>0</v>
      </c>
      <c r="F727" s="1168">
        <v>8637000</v>
      </c>
      <c r="G727" s="1168">
        <v>8636268.5</v>
      </c>
      <c r="H727" s="1168">
        <v>731.5</v>
      </c>
    </row>
    <row r="728" spans="1:8" ht="12.75">
      <c r="A728" s="1822" t="s">
        <v>2478</v>
      </c>
      <c r="B728" s="379" t="s">
        <v>2479</v>
      </c>
      <c r="C728" s="1823" t="s">
        <v>2561</v>
      </c>
      <c r="D728" s="379" t="s">
        <v>3422</v>
      </c>
      <c r="E728" s="1168">
        <v>0</v>
      </c>
      <c r="F728" s="1168">
        <v>10066000</v>
      </c>
      <c r="G728" s="1168">
        <v>10065197.49</v>
      </c>
      <c r="H728" s="1168">
        <v>802.51</v>
      </c>
    </row>
    <row r="729" spans="1:8" ht="12.75">
      <c r="A729" s="1822" t="s">
        <v>2480</v>
      </c>
      <c r="B729" s="379" t="s">
        <v>2481</v>
      </c>
      <c r="C729" s="1823" t="s">
        <v>2176</v>
      </c>
      <c r="D729" s="379" t="s">
        <v>3422</v>
      </c>
      <c r="E729" s="1168">
        <v>0</v>
      </c>
      <c r="F729" s="1168">
        <v>15000</v>
      </c>
      <c r="G729" s="1168">
        <v>0</v>
      </c>
      <c r="H729" s="1168">
        <v>15000</v>
      </c>
    </row>
    <row r="730" spans="1:8" ht="12.75">
      <c r="A730" s="1822" t="s">
        <v>2482</v>
      </c>
      <c r="B730" s="379" t="s">
        <v>604</v>
      </c>
      <c r="C730" s="1823" t="s">
        <v>2561</v>
      </c>
      <c r="D730" s="379" t="s">
        <v>3422</v>
      </c>
      <c r="E730" s="1168">
        <v>0</v>
      </c>
      <c r="F730" s="1168">
        <v>751000</v>
      </c>
      <c r="G730" s="1168">
        <v>750391</v>
      </c>
      <c r="H730" s="1168">
        <v>609</v>
      </c>
    </row>
    <row r="731" spans="1:8" ht="12.75">
      <c r="A731" s="1822" t="s">
        <v>605</v>
      </c>
      <c r="B731" s="379" t="s">
        <v>606</v>
      </c>
      <c r="C731" s="1823" t="s">
        <v>3190</v>
      </c>
      <c r="D731" s="379" t="s">
        <v>3422</v>
      </c>
      <c r="E731" s="1168">
        <v>0</v>
      </c>
      <c r="F731" s="1168">
        <v>0</v>
      </c>
      <c r="G731" s="1168">
        <v>301157</v>
      </c>
      <c r="H731" s="1168">
        <v>0</v>
      </c>
    </row>
    <row r="732" spans="1:8" ht="12.75">
      <c r="A732" s="1822" t="s">
        <v>607</v>
      </c>
      <c r="B732" s="379" t="s">
        <v>608</v>
      </c>
      <c r="C732" s="1823" t="s">
        <v>3190</v>
      </c>
      <c r="D732" s="379" t="s">
        <v>3422</v>
      </c>
      <c r="E732" s="1168">
        <v>770000</v>
      </c>
      <c r="F732" s="1168">
        <v>435000</v>
      </c>
      <c r="G732" s="1168">
        <v>434674.9</v>
      </c>
      <c r="H732" s="1168">
        <v>325</v>
      </c>
    </row>
    <row r="733" spans="1:8" ht="12.75">
      <c r="A733" s="1822" t="s">
        <v>609</v>
      </c>
      <c r="B733" s="379" t="s">
        <v>610</v>
      </c>
      <c r="C733" s="1823" t="s">
        <v>3190</v>
      </c>
      <c r="D733" s="379" t="s">
        <v>3422</v>
      </c>
      <c r="E733" s="1168">
        <v>944000</v>
      </c>
      <c r="F733" s="1168">
        <v>335000</v>
      </c>
      <c r="G733" s="1168">
        <v>334965.4</v>
      </c>
      <c r="H733" s="1168">
        <v>34</v>
      </c>
    </row>
    <row r="734" spans="1:8" ht="12.75">
      <c r="A734" s="1822" t="s">
        <v>611</v>
      </c>
      <c r="B734" s="379" t="s">
        <v>612</v>
      </c>
      <c r="C734" s="1823" t="s">
        <v>3190</v>
      </c>
      <c r="D734" s="379" t="s">
        <v>3422</v>
      </c>
      <c r="E734" s="1168">
        <v>342000</v>
      </c>
      <c r="F734" s="1168">
        <v>760000</v>
      </c>
      <c r="G734" s="1168">
        <v>759809.6</v>
      </c>
      <c r="H734" s="1168">
        <v>190</v>
      </c>
    </row>
    <row r="735" spans="1:8" ht="12.75">
      <c r="A735" s="1822" t="s">
        <v>613</v>
      </c>
      <c r="B735" s="379" t="s">
        <v>614</v>
      </c>
      <c r="C735" s="1823" t="s">
        <v>3190</v>
      </c>
      <c r="D735" s="379" t="s">
        <v>3422</v>
      </c>
      <c r="E735" s="1168">
        <v>995000</v>
      </c>
      <c r="F735" s="1168">
        <v>410000</v>
      </c>
      <c r="G735" s="1168">
        <v>409907.9</v>
      </c>
      <c r="H735" s="1168">
        <v>92</v>
      </c>
    </row>
    <row r="736" spans="1:8" ht="12.75">
      <c r="A736" s="1822">
        <v>2141124005</v>
      </c>
      <c r="B736" s="379" t="s">
        <v>615</v>
      </c>
      <c r="C736" s="1823" t="s">
        <v>3190</v>
      </c>
      <c r="D736" s="379" t="s">
        <v>3422</v>
      </c>
      <c r="E736" s="1168">
        <v>1199000</v>
      </c>
      <c r="F736" s="1168">
        <v>0</v>
      </c>
      <c r="G736" s="1168">
        <v>0</v>
      </c>
      <c r="H736" s="1168">
        <v>0</v>
      </c>
    </row>
    <row r="737" spans="1:8" ht="12.75">
      <c r="A737" s="1822" t="s">
        <v>616</v>
      </c>
      <c r="B737" s="379" t="s">
        <v>617</v>
      </c>
      <c r="C737" s="1823" t="s">
        <v>3190</v>
      </c>
      <c r="D737" s="379" t="s">
        <v>3422</v>
      </c>
      <c r="E737" s="1168">
        <v>200000</v>
      </c>
      <c r="F737" s="1168">
        <v>469000</v>
      </c>
      <c r="G737" s="1168">
        <v>468851</v>
      </c>
      <c r="H737" s="1168">
        <v>149</v>
      </c>
    </row>
    <row r="738" spans="1:8" ht="12.75">
      <c r="A738" s="1822" t="s">
        <v>618</v>
      </c>
      <c r="B738" s="379" t="s">
        <v>619</v>
      </c>
      <c r="C738" s="1823" t="s">
        <v>2169</v>
      </c>
      <c r="D738" s="379" t="s">
        <v>3422</v>
      </c>
      <c r="E738" s="1168">
        <v>1620000</v>
      </c>
      <c r="F738" s="1168">
        <v>1862000</v>
      </c>
      <c r="G738" s="1168">
        <v>1861926.36</v>
      </c>
      <c r="H738" s="1168">
        <v>0</v>
      </c>
    </row>
    <row r="739" spans="1:8" ht="12.75">
      <c r="A739" s="1822" t="s">
        <v>620</v>
      </c>
      <c r="B739" s="379" t="s">
        <v>621</v>
      </c>
      <c r="C739" s="1823" t="s">
        <v>2169</v>
      </c>
      <c r="D739" s="379" t="s">
        <v>3422</v>
      </c>
      <c r="E739" s="1168">
        <v>480000</v>
      </c>
      <c r="F739" s="1168">
        <v>544000</v>
      </c>
      <c r="G739" s="1168">
        <v>543913.3</v>
      </c>
      <c r="H739" s="1168">
        <v>0</v>
      </c>
    </row>
    <row r="740" spans="1:8" ht="12.75">
      <c r="A740" s="1822" t="s">
        <v>622</v>
      </c>
      <c r="B740" s="379" t="s">
        <v>623</v>
      </c>
      <c r="C740" s="1823" t="s">
        <v>2532</v>
      </c>
      <c r="D740" s="379" t="s">
        <v>3422</v>
      </c>
      <c r="E740" s="1168">
        <v>6300000</v>
      </c>
      <c r="F740" s="1168">
        <v>2393000</v>
      </c>
      <c r="G740" s="1168">
        <v>184450</v>
      </c>
      <c r="H740" s="1168">
        <v>2208000</v>
      </c>
    </row>
    <row r="741" spans="1:8" ht="12.75">
      <c r="A741" s="1822" t="s">
        <v>624</v>
      </c>
      <c r="B741" s="379" t="s">
        <v>625</v>
      </c>
      <c r="C741" s="1823" t="s">
        <v>2532</v>
      </c>
      <c r="D741" s="379" t="s">
        <v>3422</v>
      </c>
      <c r="E741" s="1168">
        <v>400000</v>
      </c>
      <c r="F741" s="1168">
        <v>510000</v>
      </c>
      <c r="G741" s="1168">
        <v>459413.27</v>
      </c>
      <c r="H741" s="1168">
        <v>50000</v>
      </c>
    </row>
    <row r="742" spans="1:8" ht="12.75">
      <c r="A742" s="1822" t="s">
        <v>626</v>
      </c>
      <c r="B742" s="379" t="s">
        <v>627</v>
      </c>
      <c r="C742" s="1823" t="s">
        <v>2532</v>
      </c>
      <c r="D742" s="379" t="s">
        <v>3422</v>
      </c>
      <c r="E742" s="1168">
        <v>6057000</v>
      </c>
      <c r="F742" s="1168">
        <v>977000</v>
      </c>
      <c r="G742" s="1168">
        <v>202502.3</v>
      </c>
      <c r="H742" s="1168">
        <v>774000</v>
      </c>
    </row>
    <row r="743" spans="1:8" ht="12.75">
      <c r="A743" s="1822" t="s">
        <v>628</v>
      </c>
      <c r="B743" s="379" t="s">
        <v>629</v>
      </c>
      <c r="C743" s="1823" t="s">
        <v>2532</v>
      </c>
      <c r="D743" s="379" t="s">
        <v>3422</v>
      </c>
      <c r="E743" s="1168">
        <v>600000</v>
      </c>
      <c r="F743" s="1168">
        <v>359000</v>
      </c>
      <c r="G743" s="1168">
        <v>356863.15</v>
      </c>
      <c r="H743" s="1168">
        <v>0</v>
      </c>
    </row>
    <row r="744" spans="1:8" ht="12.75">
      <c r="A744" s="1822" t="s">
        <v>628</v>
      </c>
      <c r="B744" s="379" t="s">
        <v>629</v>
      </c>
      <c r="C744" s="1823" t="s">
        <v>2532</v>
      </c>
      <c r="D744" s="379" t="s">
        <v>3423</v>
      </c>
      <c r="E744" s="1168">
        <v>0</v>
      </c>
      <c r="F744" s="1168">
        <v>134000</v>
      </c>
      <c r="G744" s="1168">
        <v>133082.46</v>
      </c>
      <c r="H744" s="1168">
        <v>0</v>
      </c>
    </row>
    <row r="745" spans="1:8" ht="12.75">
      <c r="A745" s="1822" t="s">
        <v>630</v>
      </c>
      <c r="B745" s="379" t="s">
        <v>631</v>
      </c>
      <c r="C745" s="1823" t="s">
        <v>2532</v>
      </c>
      <c r="D745" s="379" t="s">
        <v>3422</v>
      </c>
      <c r="E745" s="1168">
        <v>400000</v>
      </c>
      <c r="F745" s="1168">
        <v>378000</v>
      </c>
      <c r="G745" s="1168">
        <v>376554.08</v>
      </c>
      <c r="H745" s="1168">
        <v>0</v>
      </c>
    </row>
    <row r="746" spans="1:8" ht="12.75">
      <c r="A746" s="1822" t="s">
        <v>630</v>
      </c>
      <c r="B746" s="379" t="s">
        <v>631</v>
      </c>
      <c r="C746" s="1823" t="s">
        <v>2532</v>
      </c>
      <c r="D746" s="379" t="s">
        <v>3423</v>
      </c>
      <c r="E746" s="1168">
        <v>0</v>
      </c>
      <c r="F746" s="1168">
        <v>94000</v>
      </c>
      <c r="G746" s="1168">
        <v>93843.4</v>
      </c>
      <c r="H746" s="1168">
        <v>0</v>
      </c>
    </row>
    <row r="747" spans="1:8" ht="12.75">
      <c r="A747" s="1822" t="s">
        <v>632</v>
      </c>
      <c r="B747" s="379" t="s">
        <v>633</v>
      </c>
      <c r="C747" s="1823" t="s">
        <v>2532</v>
      </c>
      <c r="D747" s="379" t="s">
        <v>3422</v>
      </c>
      <c r="E747" s="1168">
        <v>1000000</v>
      </c>
      <c r="F747" s="1168">
        <v>239000</v>
      </c>
      <c r="G747" s="1168">
        <v>237025.39</v>
      </c>
      <c r="H747" s="1168">
        <v>0</v>
      </c>
    </row>
    <row r="748" spans="1:8" ht="12.75">
      <c r="A748" s="1822" t="s">
        <v>632</v>
      </c>
      <c r="B748" s="379" t="s">
        <v>633</v>
      </c>
      <c r="C748" s="1823" t="s">
        <v>2532</v>
      </c>
      <c r="D748" s="379" t="s">
        <v>3423</v>
      </c>
      <c r="E748" s="1168">
        <v>0</v>
      </c>
      <c r="F748" s="1168">
        <v>103000</v>
      </c>
      <c r="G748" s="1168">
        <v>102088.91</v>
      </c>
      <c r="H748" s="1168">
        <v>0</v>
      </c>
    </row>
    <row r="749" spans="1:8" ht="12.75">
      <c r="A749" s="1822">
        <v>2141124015</v>
      </c>
      <c r="B749" s="379" t="s">
        <v>634</v>
      </c>
      <c r="C749" s="1823" t="s">
        <v>2541</v>
      </c>
      <c r="D749" s="379" t="s">
        <v>3422</v>
      </c>
      <c r="E749" s="1168">
        <v>500000</v>
      </c>
      <c r="F749" s="1168">
        <v>0</v>
      </c>
      <c r="G749" s="1168">
        <v>0</v>
      </c>
      <c r="H749" s="1168">
        <v>0</v>
      </c>
    </row>
    <row r="750" spans="1:8" ht="12.75">
      <c r="A750" s="1822" t="s">
        <v>635</v>
      </c>
      <c r="B750" s="379" t="s">
        <v>636</v>
      </c>
      <c r="C750" s="1823" t="s">
        <v>2541</v>
      </c>
      <c r="D750" s="379" t="s">
        <v>3422</v>
      </c>
      <c r="E750" s="1168">
        <v>17341000</v>
      </c>
      <c r="F750" s="1168">
        <v>1576000</v>
      </c>
      <c r="G750" s="1168">
        <v>464100</v>
      </c>
      <c r="H750" s="1168">
        <v>1111900</v>
      </c>
    </row>
    <row r="751" spans="1:8" ht="12.75">
      <c r="A751" s="1822" t="s">
        <v>637</v>
      </c>
      <c r="B751" s="379" t="s">
        <v>638</v>
      </c>
      <c r="C751" s="1823" t="s">
        <v>2176</v>
      </c>
      <c r="D751" s="379" t="s">
        <v>3422</v>
      </c>
      <c r="E751" s="1168">
        <v>500000</v>
      </c>
      <c r="F751" s="1168">
        <v>210000</v>
      </c>
      <c r="G751" s="1168">
        <v>209035.4</v>
      </c>
      <c r="H751" s="1168">
        <v>0</v>
      </c>
    </row>
    <row r="752" spans="1:8" ht="12.75">
      <c r="A752" s="1822">
        <v>2141124018</v>
      </c>
      <c r="B752" s="379" t="s">
        <v>639</v>
      </c>
      <c r="C752" s="1823" t="s">
        <v>2176</v>
      </c>
      <c r="D752" s="379" t="s">
        <v>3422</v>
      </c>
      <c r="E752" s="1168">
        <v>230000</v>
      </c>
      <c r="F752" s="1168">
        <v>0</v>
      </c>
      <c r="G752" s="1168">
        <v>0</v>
      </c>
      <c r="H752" s="1168">
        <v>0</v>
      </c>
    </row>
    <row r="753" spans="1:8" ht="12.75">
      <c r="A753" s="1822" t="s">
        <v>640</v>
      </c>
      <c r="B753" s="379" t="s">
        <v>641</v>
      </c>
      <c r="C753" s="1823" t="s">
        <v>2176</v>
      </c>
      <c r="D753" s="379" t="s">
        <v>3422</v>
      </c>
      <c r="E753" s="1168">
        <v>60000</v>
      </c>
      <c r="F753" s="1168">
        <v>156000</v>
      </c>
      <c r="G753" s="1168">
        <v>155699.6</v>
      </c>
      <c r="H753" s="1168">
        <v>0</v>
      </c>
    </row>
    <row r="754" spans="1:8" ht="12.75">
      <c r="A754" s="1822">
        <v>2141124020</v>
      </c>
      <c r="B754" s="379" t="s">
        <v>642</v>
      </c>
      <c r="C754" s="1823" t="s">
        <v>2176</v>
      </c>
      <c r="D754" s="379" t="s">
        <v>3422</v>
      </c>
      <c r="E754" s="1168">
        <v>500000</v>
      </c>
      <c r="F754" s="1168">
        <v>0</v>
      </c>
      <c r="G754" s="1168">
        <v>0</v>
      </c>
      <c r="H754" s="1168">
        <v>0</v>
      </c>
    </row>
    <row r="755" spans="1:8" ht="12.75">
      <c r="A755" s="1822">
        <v>2141124021</v>
      </c>
      <c r="B755" s="379" t="s">
        <v>643</v>
      </c>
      <c r="C755" s="1823" t="s">
        <v>2176</v>
      </c>
      <c r="D755" s="379" t="s">
        <v>3422</v>
      </c>
      <c r="E755" s="1168">
        <v>430000</v>
      </c>
      <c r="F755" s="1168">
        <v>0</v>
      </c>
      <c r="G755" s="1168">
        <v>0</v>
      </c>
      <c r="H755" s="1168">
        <v>0</v>
      </c>
    </row>
    <row r="756" spans="1:8" ht="12.75">
      <c r="A756" s="1822" t="s">
        <v>644</v>
      </c>
      <c r="B756" s="379" t="s">
        <v>645</v>
      </c>
      <c r="C756" s="1823" t="s">
        <v>2184</v>
      </c>
      <c r="D756" s="379" t="s">
        <v>3422</v>
      </c>
      <c r="E756" s="1168">
        <v>5200000</v>
      </c>
      <c r="F756" s="1168">
        <v>5088000</v>
      </c>
      <c r="G756" s="1168">
        <v>3559258</v>
      </c>
      <c r="H756" s="1168">
        <v>1528742</v>
      </c>
    </row>
    <row r="757" spans="1:8" ht="12.75">
      <c r="A757" s="1822" t="s">
        <v>646</v>
      </c>
      <c r="B757" s="379" t="s">
        <v>647</v>
      </c>
      <c r="C757" s="1823" t="s">
        <v>2184</v>
      </c>
      <c r="D757" s="379" t="s">
        <v>3422</v>
      </c>
      <c r="E757" s="1168">
        <v>325000</v>
      </c>
      <c r="F757" s="1168">
        <v>325000</v>
      </c>
      <c r="G757" s="1168">
        <v>294167.9</v>
      </c>
      <c r="H757" s="1168">
        <v>30832</v>
      </c>
    </row>
    <row r="758" spans="1:8" ht="12.75">
      <c r="A758" s="1822" t="s">
        <v>648</v>
      </c>
      <c r="B758" s="379" t="s">
        <v>649</v>
      </c>
      <c r="C758" s="1823" t="s">
        <v>2184</v>
      </c>
      <c r="D758" s="379" t="s">
        <v>3422</v>
      </c>
      <c r="E758" s="1168">
        <v>10000000</v>
      </c>
      <c r="F758" s="1168">
        <v>500000</v>
      </c>
      <c r="G758" s="1168">
        <v>0</v>
      </c>
      <c r="H758" s="1168">
        <v>500000</v>
      </c>
    </row>
    <row r="759" spans="1:8" ht="12.75">
      <c r="A759" s="1822" t="s">
        <v>650</v>
      </c>
      <c r="B759" s="379" t="s">
        <v>651</v>
      </c>
      <c r="C759" s="1823" t="s">
        <v>2235</v>
      </c>
      <c r="D759" s="379" t="s">
        <v>3422</v>
      </c>
      <c r="E759" s="1168">
        <v>150000</v>
      </c>
      <c r="F759" s="1168">
        <v>150000</v>
      </c>
      <c r="G759" s="1168">
        <v>0</v>
      </c>
      <c r="H759" s="1168">
        <v>150000</v>
      </c>
    </row>
    <row r="760" spans="1:8" ht="12.75">
      <c r="A760" s="1822" t="s">
        <v>652</v>
      </c>
      <c r="B760" s="379" t="s">
        <v>653</v>
      </c>
      <c r="C760" s="1823" t="s">
        <v>2235</v>
      </c>
      <c r="D760" s="379" t="s">
        <v>3422</v>
      </c>
      <c r="E760" s="1168">
        <v>300000</v>
      </c>
      <c r="F760" s="1168">
        <v>227000</v>
      </c>
      <c r="G760" s="1168">
        <v>226391.5</v>
      </c>
      <c r="H760" s="1168">
        <v>608</v>
      </c>
    </row>
    <row r="761" spans="1:8" ht="12.75">
      <c r="A761" s="1822" t="s">
        <v>654</v>
      </c>
      <c r="B761" s="379" t="s">
        <v>655</v>
      </c>
      <c r="C761" s="1823" t="s">
        <v>2235</v>
      </c>
      <c r="D761" s="379" t="s">
        <v>3422</v>
      </c>
      <c r="E761" s="1168">
        <v>4100000</v>
      </c>
      <c r="F761" s="1168">
        <v>7467000</v>
      </c>
      <c r="G761" s="1168">
        <v>828149.5</v>
      </c>
      <c r="H761" s="1168">
        <v>6638850</v>
      </c>
    </row>
    <row r="762" spans="1:8" ht="12.75">
      <c r="A762" s="1822" t="s">
        <v>656</v>
      </c>
      <c r="B762" s="379" t="s">
        <v>657</v>
      </c>
      <c r="C762" s="1823" t="s">
        <v>2176</v>
      </c>
      <c r="D762" s="379" t="s">
        <v>3422</v>
      </c>
      <c r="E762" s="1168">
        <v>700000</v>
      </c>
      <c r="F762" s="1168">
        <v>719000</v>
      </c>
      <c r="G762" s="1168">
        <v>718629.2</v>
      </c>
      <c r="H762" s="1168">
        <v>0</v>
      </c>
    </row>
    <row r="763" spans="1:8" ht="12.75">
      <c r="A763" s="1822" t="s">
        <v>658</v>
      </c>
      <c r="B763" s="379" t="s">
        <v>659</v>
      </c>
      <c r="C763" s="1823" t="s">
        <v>2176</v>
      </c>
      <c r="D763" s="379" t="s">
        <v>3422</v>
      </c>
      <c r="E763" s="1168">
        <v>610000</v>
      </c>
      <c r="F763" s="1168">
        <v>610000</v>
      </c>
      <c r="G763" s="1168">
        <v>0</v>
      </c>
      <c r="H763" s="1168">
        <v>610000</v>
      </c>
    </row>
    <row r="764" spans="1:8" ht="12.75">
      <c r="A764" s="1822" t="s">
        <v>660</v>
      </c>
      <c r="B764" s="379" t="s">
        <v>661</v>
      </c>
      <c r="C764" s="1823" t="s">
        <v>2561</v>
      </c>
      <c r="D764" s="379" t="s">
        <v>3422</v>
      </c>
      <c r="E764" s="1168">
        <v>250000</v>
      </c>
      <c r="F764" s="1168">
        <v>161000</v>
      </c>
      <c r="G764" s="1168">
        <v>160052.97</v>
      </c>
      <c r="H764" s="1168">
        <v>947.03</v>
      </c>
    </row>
    <row r="765" spans="1:8" ht="12.75">
      <c r="A765" s="1822" t="s">
        <v>662</v>
      </c>
      <c r="B765" s="379" t="s">
        <v>663</v>
      </c>
      <c r="C765" s="1823" t="s">
        <v>2561</v>
      </c>
      <c r="D765" s="379" t="s">
        <v>3422</v>
      </c>
      <c r="E765" s="1168">
        <v>45000</v>
      </c>
      <c r="F765" s="1168">
        <v>144000</v>
      </c>
      <c r="G765" s="1168">
        <v>143123.27</v>
      </c>
      <c r="H765" s="1168">
        <v>876.73</v>
      </c>
    </row>
    <row r="766" spans="1:8" ht="12.75">
      <c r="A766" s="1822" t="s">
        <v>664</v>
      </c>
      <c r="B766" s="379" t="s">
        <v>665</v>
      </c>
      <c r="C766" s="1823" t="s">
        <v>2561</v>
      </c>
      <c r="D766" s="379" t="s">
        <v>3422</v>
      </c>
      <c r="E766" s="1168">
        <v>200000</v>
      </c>
      <c r="F766" s="1168">
        <v>442000</v>
      </c>
      <c r="G766" s="1168">
        <v>441428.8</v>
      </c>
      <c r="H766" s="1168">
        <v>571.2</v>
      </c>
    </row>
    <row r="767" spans="1:8" ht="12.75">
      <c r="A767" s="1822" t="s">
        <v>666</v>
      </c>
      <c r="B767" s="379" t="s">
        <v>667</v>
      </c>
      <c r="C767" s="1823" t="s">
        <v>2561</v>
      </c>
      <c r="D767" s="379" t="s">
        <v>3422</v>
      </c>
      <c r="E767" s="1168">
        <v>300000</v>
      </c>
      <c r="F767" s="1168">
        <v>220000</v>
      </c>
      <c r="G767" s="1168">
        <v>209462</v>
      </c>
      <c r="H767" s="1168">
        <v>10538</v>
      </c>
    </row>
    <row r="768" spans="1:8" ht="12.75">
      <c r="A768" s="1822" t="s">
        <v>668</v>
      </c>
      <c r="B768" s="379" t="s">
        <v>669</v>
      </c>
      <c r="C768" s="1823" t="s">
        <v>2561</v>
      </c>
      <c r="D768" s="379" t="s">
        <v>3422</v>
      </c>
      <c r="E768" s="1168">
        <v>300000</v>
      </c>
      <c r="F768" s="1168">
        <v>148000</v>
      </c>
      <c r="G768" s="1168">
        <v>140155.3</v>
      </c>
      <c r="H768" s="1168">
        <v>7844.7</v>
      </c>
    </row>
    <row r="769" spans="1:8" ht="12.75">
      <c r="A769" s="1822" t="s">
        <v>670</v>
      </c>
      <c r="B769" s="379" t="s">
        <v>671</v>
      </c>
      <c r="C769" s="1823" t="s">
        <v>2561</v>
      </c>
      <c r="D769" s="379" t="s">
        <v>3422</v>
      </c>
      <c r="E769" s="1168">
        <v>300000</v>
      </c>
      <c r="F769" s="1168">
        <v>148000</v>
      </c>
      <c r="G769" s="1168">
        <v>139961.4</v>
      </c>
      <c r="H769" s="1168">
        <v>8038.6</v>
      </c>
    </row>
    <row r="770" spans="1:8" ht="12.75">
      <c r="A770" s="1822">
        <v>2141124036</v>
      </c>
      <c r="B770" s="379" t="s">
        <v>672</v>
      </c>
      <c r="C770" s="1823" t="s">
        <v>2561</v>
      </c>
      <c r="D770" s="379" t="s">
        <v>3422</v>
      </c>
      <c r="E770" s="1168">
        <v>685000</v>
      </c>
      <c r="F770" s="1168">
        <v>0</v>
      </c>
      <c r="G770" s="1168">
        <v>0</v>
      </c>
      <c r="H770" s="1168">
        <v>0</v>
      </c>
    </row>
    <row r="771" spans="1:8" ht="12.75">
      <c r="A771" s="1822" t="s">
        <v>673</v>
      </c>
      <c r="B771" s="379" t="s">
        <v>674</v>
      </c>
      <c r="C771" s="1823" t="s">
        <v>2561</v>
      </c>
      <c r="D771" s="379" t="s">
        <v>3422</v>
      </c>
      <c r="E771" s="1168">
        <v>110000</v>
      </c>
      <c r="F771" s="1168">
        <v>91000</v>
      </c>
      <c r="G771" s="1168">
        <v>89279.16</v>
      </c>
      <c r="H771" s="1168">
        <v>1720.84</v>
      </c>
    </row>
    <row r="772" spans="1:8" ht="12.75">
      <c r="A772" s="1822" t="s">
        <v>675</v>
      </c>
      <c r="B772" s="379" t="s">
        <v>676</v>
      </c>
      <c r="C772" s="1823" t="s">
        <v>2561</v>
      </c>
      <c r="D772" s="379" t="s">
        <v>3422</v>
      </c>
      <c r="E772" s="1168">
        <v>45000</v>
      </c>
      <c r="F772" s="1168">
        <v>191000</v>
      </c>
      <c r="G772" s="1168">
        <v>190117.16</v>
      </c>
      <c r="H772" s="1168">
        <v>882.84</v>
      </c>
    </row>
    <row r="773" spans="1:8" ht="12.75">
      <c r="A773" s="1822">
        <v>2141124039</v>
      </c>
      <c r="B773" s="379" t="s">
        <v>677</v>
      </c>
      <c r="C773" s="1823" t="s">
        <v>2561</v>
      </c>
      <c r="D773" s="379" t="s">
        <v>3422</v>
      </c>
      <c r="E773" s="1168">
        <v>65000</v>
      </c>
      <c r="F773" s="1168">
        <v>0</v>
      </c>
      <c r="G773" s="1168">
        <v>0</v>
      </c>
      <c r="H773" s="1168">
        <v>0</v>
      </c>
    </row>
    <row r="774" spans="1:8" ht="12.75">
      <c r="A774" s="1822" t="s">
        <v>678</v>
      </c>
      <c r="B774" s="379" t="s">
        <v>679</v>
      </c>
      <c r="C774" s="1823" t="s">
        <v>2561</v>
      </c>
      <c r="D774" s="379" t="s">
        <v>3422</v>
      </c>
      <c r="E774" s="1168">
        <v>200000</v>
      </c>
      <c r="F774" s="1168">
        <v>419000</v>
      </c>
      <c r="G774" s="1168">
        <v>418492.77</v>
      </c>
      <c r="H774" s="1168">
        <v>507.23</v>
      </c>
    </row>
    <row r="775" spans="1:8" ht="12.75">
      <c r="A775" s="1822" t="s">
        <v>680</v>
      </c>
      <c r="B775" s="379" t="s">
        <v>681</v>
      </c>
      <c r="C775" s="1823" t="s">
        <v>2561</v>
      </c>
      <c r="D775" s="379" t="s">
        <v>3422</v>
      </c>
      <c r="E775" s="1168">
        <v>300000</v>
      </c>
      <c r="F775" s="1168">
        <v>227000</v>
      </c>
      <c r="G775" s="1168">
        <v>216481.5</v>
      </c>
      <c r="H775" s="1168">
        <v>10518.5</v>
      </c>
    </row>
    <row r="776" spans="1:8" ht="12.75">
      <c r="A776" s="1822" t="s">
        <v>682</v>
      </c>
      <c r="B776" s="379" t="s">
        <v>683</v>
      </c>
      <c r="C776" s="1823" t="s">
        <v>2561</v>
      </c>
      <c r="D776" s="379" t="s">
        <v>3422</v>
      </c>
      <c r="E776" s="1168">
        <v>100000</v>
      </c>
      <c r="F776" s="1168">
        <v>173000</v>
      </c>
      <c r="G776" s="1168">
        <v>172661.62</v>
      </c>
      <c r="H776" s="1168">
        <v>338.38</v>
      </c>
    </row>
    <row r="777" spans="1:8" ht="12.75">
      <c r="A777" s="1822" t="s">
        <v>684</v>
      </c>
      <c r="B777" s="379" t="s">
        <v>685</v>
      </c>
      <c r="C777" s="1823" t="s">
        <v>2193</v>
      </c>
      <c r="D777" s="379" t="s">
        <v>3422</v>
      </c>
      <c r="E777" s="1168">
        <v>1300000</v>
      </c>
      <c r="F777" s="1168">
        <v>1182000</v>
      </c>
      <c r="G777" s="1168">
        <v>1181377</v>
      </c>
      <c r="H777" s="1168">
        <v>610</v>
      </c>
    </row>
    <row r="778" spans="1:8" ht="12.75">
      <c r="A778" s="1822" t="s">
        <v>686</v>
      </c>
      <c r="B778" s="379" t="s">
        <v>687</v>
      </c>
      <c r="C778" s="1823" t="s">
        <v>2193</v>
      </c>
      <c r="D778" s="379" t="s">
        <v>3422</v>
      </c>
      <c r="E778" s="1168">
        <v>1000000</v>
      </c>
      <c r="F778" s="1168">
        <v>1119000</v>
      </c>
      <c r="G778" s="1168">
        <v>1118623</v>
      </c>
      <c r="H778" s="1168">
        <v>300</v>
      </c>
    </row>
    <row r="779" spans="1:8" ht="12.75">
      <c r="A779" s="1822" t="s">
        <v>688</v>
      </c>
      <c r="B779" s="379" t="s">
        <v>689</v>
      </c>
      <c r="C779" s="1823" t="s">
        <v>2193</v>
      </c>
      <c r="D779" s="379" t="s">
        <v>3422</v>
      </c>
      <c r="E779" s="1168">
        <v>2537000</v>
      </c>
      <c r="F779" s="1168">
        <v>2836000</v>
      </c>
      <c r="G779" s="1168">
        <v>2835473</v>
      </c>
      <c r="H779" s="1168">
        <v>520</v>
      </c>
    </row>
    <row r="780" spans="1:8" ht="12.75">
      <c r="A780" s="1822">
        <v>2141124046</v>
      </c>
      <c r="B780" s="379" t="s">
        <v>690</v>
      </c>
      <c r="C780" s="1823" t="s">
        <v>2193</v>
      </c>
      <c r="D780" s="379" t="s">
        <v>3422</v>
      </c>
      <c r="E780" s="1168">
        <v>1000000</v>
      </c>
      <c r="F780" s="1168">
        <v>0</v>
      </c>
      <c r="G780" s="1168">
        <v>0</v>
      </c>
      <c r="H780" s="1168">
        <v>0</v>
      </c>
    </row>
    <row r="781" spans="1:8" ht="12.75">
      <c r="A781" s="1822">
        <v>2141124047</v>
      </c>
      <c r="B781" s="379" t="s">
        <v>691</v>
      </c>
      <c r="C781" s="1823" t="s">
        <v>2193</v>
      </c>
      <c r="D781" s="379" t="s">
        <v>3422</v>
      </c>
      <c r="E781" s="1168">
        <v>1000000</v>
      </c>
      <c r="F781" s="1168">
        <v>0</v>
      </c>
      <c r="G781" s="1168">
        <v>0</v>
      </c>
      <c r="H781" s="1168">
        <v>0</v>
      </c>
    </row>
    <row r="782" spans="1:8" ht="12.75">
      <c r="A782" s="1822" t="s">
        <v>692</v>
      </c>
      <c r="B782" s="379" t="s">
        <v>693</v>
      </c>
      <c r="C782" s="1823" t="s">
        <v>2541</v>
      </c>
      <c r="D782" s="379" t="s">
        <v>3422</v>
      </c>
      <c r="E782" s="1168">
        <v>0</v>
      </c>
      <c r="F782" s="1168">
        <v>3777000</v>
      </c>
      <c r="G782" s="1168">
        <v>1515754.9</v>
      </c>
      <c r="H782" s="1168">
        <v>2261245</v>
      </c>
    </row>
    <row r="783" spans="1:8" ht="12.75">
      <c r="A783" s="1822" t="s">
        <v>692</v>
      </c>
      <c r="B783" s="379" t="s">
        <v>693</v>
      </c>
      <c r="C783" s="1823" t="s">
        <v>2541</v>
      </c>
      <c r="D783" s="379" t="s">
        <v>3423</v>
      </c>
      <c r="E783" s="1168">
        <v>0</v>
      </c>
      <c r="F783" s="1168">
        <v>103000</v>
      </c>
      <c r="G783" s="1168">
        <v>102062.8</v>
      </c>
      <c r="H783" s="1168">
        <v>937</v>
      </c>
    </row>
    <row r="784" spans="1:8" ht="12.75">
      <c r="A784" s="1822" t="s">
        <v>694</v>
      </c>
      <c r="B784" s="379" t="s">
        <v>695</v>
      </c>
      <c r="C784" s="1823" t="s">
        <v>3190</v>
      </c>
      <c r="D784" s="379" t="s">
        <v>3422</v>
      </c>
      <c r="E784" s="1168">
        <v>0</v>
      </c>
      <c r="F784" s="1168">
        <v>0</v>
      </c>
      <c r="G784" s="1168">
        <v>446950</v>
      </c>
      <c r="H784" s="1168">
        <v>0</v>
      </c>
    </row>
    <row r="785" spans="1:8" ht="12.75">
      <c r="A785" s="1822" t="s">
        <v>696</v>
      </c>
      <c r="B785" s="379" t="s">
        <v>697</v>
      </c>
      <c r="C785" s="1823" t="s">
        <v>2532</v>
      </c>
      <c r="D785" s="379" t="s">
        <v>3422</v>
      </c>
      <c r="E785" s="1168">
        <v>0</v>
      </c>
      <c r="F785" s="1168">
        <v>107000</v>
      </c>
      <c r="G785" s="1168">
        <v>106981</v>
      </c>
      <c r="H785" s="1168">
        <v>0</v>
      </c>
    </row>
    <row r="786" spans="1:8" ht="12.75">
      <c r="A786" s="1822" t="s">
        <v>696</v>
      </c>
      <c r="B786" s="379" t="s">
        <v>697</v>
      </c>
      <c r="C786" s="1823" t="s">
        <v>2532</v>
      </c>
      <c r="D786" s="379" t="s">
        <v>3423</v>
      </c>
      <c r="E786" s="1168">
        <v>0</v>
      </c>
      <c r="F786" s="1168">
        <v>63000</v>
      </c>
      <c r="G786" s="1168">
        <v>62442.87</v>
      </c>
      <c r="H786" s="1168">
        <v>0</v>
      </c>
    </row>
    <row r="787" spans="1:8" ht="12.75">
      <c r="A787" s="1822" t="s">
        <v>698</v>
      </c>
      <c r="B787" s="379" t="s">
        <v>699</v>
      </c>
      <c r="C787" s="1823" t="s">
        <v>2235</v>
      </c>
      <c r="D787" s="379" t="s">
        <v>3422</v>
      </c>
      <c r="E787" s="1168">
        <v>0</v>
      </c>
      <c r="F787" s="1168">
        <v>1200000</v>
      </c>
      <c r="G787" s="1168">
        <v>750429</v>
      </c>
      <c r="H787" s="1168">
        <v>449571</v>
      </c>
    </row>
    <row r="788" spans="1:8" ht="12.75">
      <c r="A788" s="1822" t="s">
        <v>700</v>
      </c>
      <c r="B788" s="379" t="s">
        <v>701</v>
      </c>
      <c r="C788" s="1823" t="s">
        <v>2235</v>
      </c>
      <c r="D788" s="379" t="s">
        <v>3422</v>
      </c>
      <c r="E788" s="1168">
        <v>0</v>
      </c>
      <c r="F788" s="1168">
        <v>960000</v>
      </c>
      <c r="G788" s="1168">
        <v>587171</v>
      </c>
      <c r="H788" s="1168">
        <v>372829</v>
      </c>
    </row>
    <row r="789" spans="1:8" ht="12.75">
      <c r="A789" s="1822" t="s">
        <v>702</v>
      </c>
      <c r="B789" s="379" t="s">
        <v>703</v>
      </c>
      <c r="C789" s="1823" t="s">
        <v>2235</v>
      </c>
      <c r="D789" s="379" t="s">
        <v>3422</v>
      </c>
      <c r="E789" s="1168">
        <v>0</v>
      </c>
      <c r="F789" s="1168">
        <v>781000</v>
      </c>
      <c r="G789" s="1168">
        <v>345144</v>
      </c>
      <c r="H789" s="1168">
        <v>435856</v>
      </c>
    </row>
    <row r="790" spans="1:8" ht="12.75">
      <c r="A790" s="1822" t="s">
        <v>704</v>
      </c>
      <c r="B790" s="379" t="s">
        <v>705</v>
      </c>
      <c r="C790" s="1823" t="s">
        <v>2235</v>
      </c>
      <c r="D790" s="379" t="s">
        <v>3422</v>
      </c>
      <c r="E790" s="1168">
        <v>0</v>
      </c>
      <c r="F790" s="1168">
        <v>1367000</v>
      </c>
      <c r="G790" s="1168">
        <v>1366458</v>
      </c>
      <c r="H790" s="1168">
        <v>542</v>
      </c>
    </row>
    <row r="791" spans="1:8" ht="12.75">
      <c r="A791" s="1822" t="s">
        <v>706</v>
      </c>
      <c r="B791" s="379" t="s">
        <v>707</v>
      </c>
      <c r="C791" s="1823" t="s">
        <v>2561</v>
      </c>
      <c r="D791" s="379" t="s">
        <v>3422</v>
      </c>
      <c r="E791" s="1168">
        <v>0</v>
      </c>
      <c r="F791" s="1168">
        <v>41000</v>
      </c>
      <c r="G791" s="1168">
        <v>40414.9</v>
      </c>
      <c r="H791" s="1168">
        <v>585.1</v>
      </c>
    </row>
    <row r="792" spans="1:8" ht="12.75">
      <c r="A792" s="1822" t="s">
        <v>708</v>
      </c>
      <c r="B792" s="379" t="s">
        <v>709</v>
      </c>
      <c r="C792" s="1823" t="s">
        <v>2561</v>
      </c>
      <c r="D792" s="379" t="s">
        <v>3422</v>
      </c>
      <c r="E792" s="1168">
        <v>0</v>
      </c>
      <c r="F792" s="1168">
        <v>41000</v>
      </c>
      <c r="G792" s="1168">
        <v>40803</v>
      </c>
      <c r="H792" s="1168">
        <v>197</v>
      </c>
    </row>
    <row r="793" spans="1:8" ht="12.75">
      <c r="A793" s="1822" t="s">
        <v>710</v>
      </c>
      <c r="B793" s="379" t="s">
        <v>711</v>
      </c>
      <c r="C793" s="1823" t="s">
        <v>3190</v>
      </c>
      <c r="D793" s="379" t="s">
        <v>3422</v>
      </c>
      <c r="E793" s="1168">
        <v>0</v>
      </c>
      <c r="F793" s="1168">
        <v>3360000</v>
      </c>
      <c r="G793" s="1168">
        <v>3360000</v>
      </c>
      <c r="H793" s="1168">
        <v>0</v>
      </c>
    </row>
    <row r="794" spans="1:8" ht="12.75">
      <c r="A794" s="1822" t="s">
        <v>712</v>
      </c>
      <c r="B794" s="379" t="s">
        <v>713</v>
      </c>
      <c r="C794" s="1823" t="s">
        <v>714</v>
      </c>
      <c r="D794" s="379" t="s">
        <v>3422</v>
      </c>
      <c r="E794" s="1168">
        <v>0</v>
      </c>
      <c r="F794" s="1168">
        <v>0</v>
      </c>
      <c r="G794" s="1168">
        <v>757744</v>
      </c>
      <c r="H794" s="1168">
        <v>0</v>
      </c>
    </row>
    <row r="795" spans="1:8" ht="12.75">
      <c r="A795" s="1822" t="s">
        <v>715</v>
      </c>
      <c r="B795" s="379" t="s">
        <v>716</v>
      </c>
      <c r="C795" s="1823" t="s">
        <v>717</v>
      </c>
      <c r="D795" s="379" t="s">
        <v>3422</v>
      </c>
      <c r="E795" s="1168">
        <v>0</v>
      </c>
      <c r="F795" s="1168">
        <v>0</v>
      </c>
      <c r="G795" s="1168">
        <v>2294651.5</v>
      </c>
      <c r="H795" s="1168">
        <v>0</v>
      </c>
    </row>
    <row r="796" spans="1:8" ht="12.75">
      <c r="A796" s="1822" t="s">
        <v>718</v>
      </c>
      <c r="B796" s="379" t="s">
        <v>719</v>
      </c>
      <c r="C796" s="1823" t="s">
        <v>2169</v>
      </c>
      <c r="D796" s="379" t="s">
        <v>3422</v>
      </c>
      <c r="E796" s="1168">
        <v>0</v>
      </c>
      <c r="F796" s="1168">
        <v>2599000</v>
      </c>
      <c r="G796" s="1168">
        <v>500000</v>
      </c>
      <c r="H796" s="1168">
        <v>2099000</v>
      </c>
    </row>
    <row r="797" spans="1:8" ht="12.75">
      <c r="A797" s="1822" t="s">
        <v>720</v>
      </c>
      <c r="B797" s="379" t="s">
        <v>721</v>
      </c>
      <c r="C797" s="1823" t="s">
        <v>2169</v>
      </c>
      <c r="D797" s="379" t="s">
        <v>3422</v>
      </c>
      <c r="E797" s="1168">
        <v>0</v>
      </c>
      <c r="F797" s="1168">
        <v>1591000</v>
      </c>
      <c r="G797" s="1168">
        <v>1590316</v>
      </c>
      <c r="H797" s="1168">
        <v>0</v>
      </c>
    </row>
    <row r="798" spans="1:8" ht="12.75">
      <c r="A798" s="1822" t="s">
        <v>722</v>
      </c>
      <c r="B798" s="379" t="s">
        <v>723</v>
      </c>
      <c r="C798" s="1823" t="s">
        <v>2169</v>
      </c>
      <c r="D798" s="379" t="s">
        <v>3422</v>
      </c>
      <c r="E798" s="1168">
        <v>0</v>
      </c>
      <c r="F798" s="1168">
        <v>948000</v>
      </c>
      <c r="G798" s="1168">
        <v>947917.8</v>
      </c>
      <c r="H798" s="1168">
        <v>0</v>
      </c>
    </row>
    <row r="799" spans="1:8" ht="12.75">
      <c r="A799" s="1822" t="s">
        <v>724</v>
      </c>
      <c r="B799" s="379" t="s">
        <v>725</v>
      </c>
      <c r="C799" s="1823" t="s">
        <v>2532</v>
      </c>
      <c r="D799" s="379" t="s">
        <v>3422</v>
      </c>
      <c r="E799" s="1168">
        <v>0</v>
      </c>
      <c r="F799" s="1168">
        <v>266000</v>
      </c>
      <c r="G799" s="1168">
        <v>265993.6</v>
      </c>
      <c r="H799" s="1168">
        <v>0</v>
      </c>
    </row>
    <row r="800" spans="1:8" ht="12.75">
      <c r="A800" s="1822" t="s">
        <v>726</v>
      </c>
      <c r="B800" s="379" t="s">
        <v>727</v>
      </c>
      <c r="C800" s="1823" t="s">
        <v>2532</v>
      </c>
      <c r="D800" s="379" t="s">
        <v>3422</v>
      </c>
      <c r="E800" s="1168">
        <v>0</v>
      </c>
      <c r="F800" s="1168">
        <v>130000</v>
      </c>
      <c r="G800" s="1168">
        <v>3000</v>
      </c>
      <c r="H800" s="1168">
        <v>127000</v>
      </c>
    </row>
    <row r="801" spans="1:8" ht="12.75">
      <c r="A801" s="1822" t="s">
        <v>728</v>
      </c>
      <c r="B801" s="379" t="s">
        <v>729</v>
      </c>
      <c r="C801" s="1823" t="s">
        <v>2532</v>
      </c>
      <c r="D801" s="379" t="s">
        <v>3422</v>
      </c>
      <c r="E801" s="1168">
        <v>0</v>
      </c>
      <c r="F801" s="1168">
        <v>1617000</v>
      </c>
      <c r="G801" s="1168">
        <v>1466130</v>
      </c>
      <c r="H801" s="1168">
        <v>150000</v>
      </c>
    </row>
    <row r="802" spans="1:8" ht="12.75">
      <c r="A802" s="1822" t="s">
        <v>730</v>
      </c>
      <c r="B802" s="379" t="s">
        <v>731</v>
      </c>
      <c r="C802" s="1823" t="s">
        <v>2532</v>
      </c>
      <c r="D802" s="379" t="s">
        <v>3422</v>
      </c>
      <c r="E802" s="1168">
        <v>0</v>
      </c>
      <c r="F802" s="1168">
        <v>1089000</v>
      </c>
      <c r="G802" s="1168">
        <v>1088009</v>
      </c>
      <c r="H802" s="1168">
        <v>0</v>
      </c>
    </row>
    <row r="803" spans="1:8" ht="12.75">
      <c r="A803" s="1822" t="s">
        <v>732</v>
      </c>
      <c r="B803" s="379" t="s">
        <v>733</v>
      </c>
      <c r="C803" s="1823" t="s">
        <v>2541</v>
      </c>
      <c r="D803" s="379" t="s">
        <v>3422</v>
      </c>
      <c r="E803" s="1168">
        <v>0</v>
      </c>
      <c r="F803" s="1168">
        <v>1000000</v>
      </c>
      <c r="G803" s="1168">
        <v>119000</v>
      </c>
      <c r="H803" s="1168">
        <v>881000</v>
      </c>
    </row>
    <row r="804" spans="1:8" ht="12.75">
      <c r="A804" s="1822" t="s">
        <v>734</v>
      </c>
      <c r="B804" s="379" t="s">
        <v>735</v>
      </c>
      <c r="C804" s="1823" t="s">
        <v>2184</v>
      </c>
      <c r="D804" s="379" t="s">
        <v>3422</v>
      </c>
      <c r="E804" s="1168">
        <v>0</v>
      </c>
      <c r="F804" s="1168">
        <v>1726000</v>
      </c>
      <c r="G804" s="1168">
        <v>511700</v>
      </c>
      <c r="H804" s="1168">
        <v>1214300</v>
      </c>
    </row>
    <row r="805" spans="1:8" ht="12.75">
      <c r="A805" s="1822" t="s">
        <v>736</v>
      </c>
      <c r="B805" s="379" t="s">
        <v>737</v>
      </c>
      <c r="C805" s="1823" t="s">
        <v>2184</v>
      </c>
      <c r="D805" s="379" t="s">
        <v>3422</v>
      </c>
      <c r="E805" s="1168">
        <v>0</v>
      </c>
      <c r="F805" s="1168">
        <v>1961000</v>
      </c>
      <c r="G805" s="1168">
        <v>1958968.7</v>
      </c>
      <c r="H805" s="1168">
        <v>2031</v>
      </c>
    </row>
    <row r="806" spans="1:8" ht="12.75">
      <c r="A806" s="1822" t="s">
        <v>738</v>
      </c>
      <c r="B806" s="379" t="s">
        <v>739</v>
      </c>
      <c r="C806" s="1823" t="s">
        <v>2561</v>
      </c>
      <c r="D806" s="379" t="s">
        <v>3422</v>
      </c>
      <c r="E806" s="1168">
        <v>0</v>
      </c>
      <c r="F806" s="1168">
        <v>206000</v>
      </c>
      <c r="G806" s="1168">
        <v>205594</v>
      </c>
      <c r="H806" s="1168">
        <v>406</v>
      </c>
    </row>
    <row r="807" spans="1:8" ht="12.75">
      <c r="A807" s="1822" t="s">
        <v>740</v>
      </c>
      <c r="B807" s="379" t="s">
        <v>741</v>
      </c>
      <c r="C807" s="1823" t="s">
        <v>3190</v>
      </c>
      <c r="D807" s="379" t="s">
        <v>3422</v>
      </c>
      <c r="E807" s="1168">
        <v>0</v>
      </c>
      <c r="F807" s="1168">
        <v>1177000</v>
      </c>
      <c r="G807" s="1168">
        <v>1176595.84</v>
      </c>
      <c r="H807" s="1168">
        <v>404</v>
      </c>
    </row>
    <row r="808" spans="1:8" ht="12.75">
      <c r="A808" s="1822" t="s">
        <v>742</v>
      </c>
      <c r="B808" s="379" t="s">
        <v>743</v>
      </c>
      <c r="C808" s="1823" t="s">
        <v>2541</v>
      </c>
      <c r="D808" s="379" t="s">
        <v>3422</v>
      </c>
      <c r="E808" s="1168">
        <v>0</v>
      </c>
      <c r="F808" s="1168">
        <v>25000</v>
      </c>
      <c r="G808" s="1168">
        <v>0</v>
      </c>
      <c r="H808" s="1168">
        <v>25000</v>
      </c>
    </row>
    <row r="809" spans="1:8" ht="12.75">
      <c r="A809" s="1822" t="s">
        <v>744</v>
      </c>
      <c r="B809" s="379" t="s">
        <v>745</v>
      </c>
      <c r="C809" s="1823" t="s">
        <v>2184</v>
      </c>
      <c r="D809" s="379" t="s">
        <v>3422</v>
      </c>
      <c r="E809" s="1168">
        <v>0</v>
      </c>
      <c r="F809" s="1168">
        <v>900000</v>
      </c>
      <c r="G809" s="1168">
        <v>899513</v>
      </c>
      <c r="H809" s="1168">
        <v>487</v>
      </c>
    </row>
    <row r="810" spans="1:8" ht="12.75">
      <c r="A810" s="1822" t="s">
        <v>746</v>
      </c>
      <c r="B810" s="379" t="s">
        <v>747</v>
      </c>
      <c r="C810" s="1823" t="s">
        <v>2561</v>
      </c>
      <c r="D810" s="379" t="s">
        <v>3422</v>
      </c>
      <c r="E810" s="1168">
        <v>0</v>
      </c>
      <c r="F810" s="1168">
        <v>237000</v>
      </c>
      <c r="G810" s="1168">
        <v>236358</v>
      </c>
      <c r="H810" s="1168">
        <v>642</v>
      </c>
    </row>
    <row r="811" spans="1:8" ht="12.75">
      <c r="A811" s="1822" t="s">
        <v>748</v>
      </c>
      <c r="B811" s="379" t="s">
        <v>749</v>
      </c>
      <c r="C811" s="1823" t="s">
        <v>2446</v>
      </c>
      <c r="D811" s="379" t="s">
        <v>3422</v>
      </c>
      <c r="E811" s="1168">
        <v>0</v>
      </c>
      <c r="F811" s="1168">
        <v>0</v>
      </c>
      <c r="G811" s="1168">
        <v>518792.38</v>
      </c>
      <c r="H811" s="1168">
        <v>0</v>
      </c>
    </row>
    <row r="812" spans="1:8" ht="12.75">
      <c r="A812" s="1822" t="s">
        <v>750</v>
      </c>
      <c r="B812" s="379" t="s">
        <v>751</v>
      </c>
      <c r="C812" s="1823" t="s">
        <v>717</v>
      </c>
      <c r="D812" s="379" t="s">
        <v>3422</v>
      </c>
      <c r="E812" s="1168">
        <v>0</v>
      </c>
      <c r="F812" s="1168">
        <v>0</v>
      </c>
      <c r="G812" s="1168">
        <v>542178</v>
      </c>
      <c r="H812" s="1168">
        <v>0</v>
      </c>
    </row>
    <row r="813" spans="1:8" ht="12.75">
      <c r="A813" s="1822" t="s">
        <v>752</v>
      </c>
      <c r="B813" s="379" t="s">
        <v>753</v>
      </c>
      <c r="C813" s="1823" t="s">
        <v>3190</v>
      </c>
      <c r="D813" s="379" t="s">
        <v>3422</v>
      </c>
      <c r="E813" s="1168">
        <v>0</v>
      </c>
      <c r="F813" s="1168">
        <v>4200000</v>
      </c>
      <c r="G813" s="1168">
        <v>89250</v>
      </c>
      <c r="H813" s="1168">
        <v>4110750</v>
      </c>
    </row>
    <row r="814" spans="1:8" ht="12.75">
      <c r="A814" s="1822" t="s">
        <v>754</v>
      </c>
      <c r="B814" s="379" t="s">
        <v>755</v>
      </c>
      <c r="C814" s="1823" t="s">
        <v>3190</v>
      </c>
      <c r="D814" s="379" t="s">
        <v>3422</v>
      </c>
      <c r="E814" s="1168">
        <v>0</v>
      </c>
      <c r="F814" s="1168">
        <v>2900000</v>
      </c>
      <c r="G814" s="1168">
        <v>2573983.9</v>
      </c>
      <c r="H814" s="1168">
        <v>326016</v>
      </c>
    </row>
    <row r="815" spans="1:8" ht="12.75">
      <c r="A815" s="1822" t="s">
        <v>756</v>
      </c>
      <c r="B815" s="379" t="s">
        <v>757</v>
      </c>
      <c r="C815" s="1823" t="s">
        <v>3190</v>
      </c>
      <c r="D815" s="379" t="s">
        <v>3422</v>
      </c>
      <c r="E815" s="1168">
        <v>0</v>
      </c>
      <c r="F815" s="1168">
        <v>1797000</v>
      </c>
      <c r="G815" s="1168">
        <v>1796600</v>
      </c>
      <c r="H815" s="1168">
        <v>400</v>
      </c>
    </row>
    <row r="816" spans="1:8" ht="12.75">
      <c r="A816" s="1822" t="s">
        <v>758</v>
      </c>
      <c r="B816" s="379" t="s">
        <v>759</v>
      </c>
      <c r="C816" s="1823" t="s">
        <v>3190</v>
      </c>
      <c r="D816" s="379" t="s">
        <v>3422</v>
      </c>
      <c r="E816" s="1168">
        <v>0</v>
      </c>
      <c r="F816" s="1168">
        <v>800000</v>
      </c>
      <c r="G816" s="1168">
        <v>799651.5</v>
      </c>
      <c r="H816" s="1168">
        <v>348</v>
      </c>
    </row>
    <row r="817" spans="1:8" ht="12.75">
      <c r="A817" s="1822" t="s">
        <v>760</v>
      </c>
      <c r="B817" s="379" t="s">
        <v>761</v>
      </c>
      <c r="C817" s="1823" t="s">
        <v>2193</v>
      </c>
      <c r="D817" s="379" t="s">
        <v>3422</v>
      </c>
      <c r="E817" s="1168">
        <v>0</v>
      </c>
      <c r="F817" s="1168">
        <v>500000</v>
      </c>
      <c r="G817" s="1168">
        <v>363458.5</v>
      </c>
      <c r="H817" s="1168">
        <v>136540</v>
      </c>
    </row>
    <row r="818" spans="1:8" ht="12.75">
      <c r="A818" s="1822" t="s">
        <v>762</v>
      </c>
      <c r="B818" s="379" t="s">
        <v>763</v>
      </c>
      <c r="C818" s="1823" t="s">
        <v>2176</v>
      </c>
      <c r="D818" s="379" t="s">
        <v>3423</v>
      </c>
      <c r="E818" s="1168">
        <v>0</v>
      </c>
      <c r="F818" s="1168">
        <v>27000</v>
      </c>
      <c r="G818" s="1168">
        <v>26387.5</v>
      </c>
      <c r="H818" s="1168">
        <v>0</v>
      </c>
    </row>
    <row r="819" spans="1:8" ht="12.75">
      <c r="A819" s="1822" t="s">
        <v>764</v>
      </c>
      <c r="B819" s="379" t="s">
        <v>765</v>
      </c>
      <c r="C819" s="1823" t="s">
        <v>2541</v>
      </c>
      <c r="D819" s="379" t="s">
        <v>3422</v>
      </c>
      <c r="E819" s="1168">
        <v>0</v>
      </c>
      <c r="F819" s="1168">
        <v>179000</v>
      </c>
      <c r="G819" s="1168">
        <v>178024</v>
      </c>
      <c r="H819" s="1168">
        <v>976</v>
      </c>
    </row>
    <row r="820" spans="1:8" ht="12.75">
      <c r="A820" s="1822" t="s">
        <v>766</v>
      </c>
      <c r="B820" s="379" t="s">
        <v>767</v>
      </c>
      <c r="C820" s="1823" t="s">
        <v>2541</v>
      </c>
      <c r="D820" s="379" t="s">
        <v>3422</v>
      </c>
      <c r="E820" s="1168">
        <v>0</v>
      </c>
      <c r="F820" s="1168">
        <v>175000</v>
      </c>
      <c r="G820" s="1168">
        <v>155652</v>
      </c>
      <c r="H820" s="1168">
        <v>19348</v>
      </c>
    </row>
    <row r="821" spans="1:8" ht="12.75">
      <c r="A821" s="1822" t="s">
        <v>768</v>
      </c>
      <c r="B821" s="379" t="s">
        <v>769</v>
      </c>
      <c r="C821" s="1823" t="s">
        <v>2541</v>
      </c>
      <c r="D821" s="379" t="s">
        <v>3422</v>
      </c>
      <c r="E821" s="1168">
        <v>0</v>
      </c>
      <c r="F821" s="1168">
        <v>221000</v>
      </c>
      <c r="G821" s="1168">
        <v>220978</v>
      </c>
      <c r="H821" s="1168">
        <v>22</v>
      </c>
    </row>
    <row r="822" spans="1:8" ht="12.75">
      <c r="A822" s="1822" t="s">
        <v>770</v>
      </c>
      <c r="B822" s="379" t="s">
        <v>771</v>
      </c>
      <c r="C822" s="1823" t="s">
        <v>3190</v>
      </c>
      <c r="D822" s="379" t="s">
        <v>3422</v>
      </c>
      <c r="E822" s="1168">
        <v>0</v>
      </c>
      <c r="F822" s="1168">
        <v>1049000</v>
      </c>
      <c r="G822" s="1168">
        <v>1048691.3</v>
      </c>
      <c r="H822" s="1168">
        <v>308</v>
      </c>
    </row>
    <row r="823" spans="1:8" ht="12.75">
      <c r="A823" s="1822" t="s">
        <v>772</v>
      </c>
      <c r="B823" s="379" t="s">
        <v>773</v>
      </c>
      <c r="C823" s="1823" t="s">
        <v>3190</v>
      </c>
      <c r="D823" s="379" t="s">
        <v>3422</v>
      </c>
      <c r="E823" s="1168">
        <v>0</v>
      </c>
      <c r="F823" s="1168">
        <v>754000</v>
      </c>
      <c r="G823" s="1168">
        <v>753201</v>
      </c>
      <c r="H823" s="1168">
        <v>799</v>
      </c>
    </row>
    <row r="824" spans="1:8" ht="12.75">
      <c r="A824" s="1822" t="s">
        <v>774</v>
      </c>
      <c r="B824" s="379" t="s">
        <v>775</v>
      </c>
      <c r="C824" s="1823" t="s">
        <v>3190</v>
      </c>
      <c r="D824" s="379" t="s">
        <v>3422</v>
      </c>
      <c r="E824" s="1168">
        <v>0</v>
      </c>
      <c r="F824" s="1168">
        <v>2319000</v>
      </c>
      <c r="G824" s="1168">
        <v>2317730.3</v>
      </c>
      <c r="H824" s="1168">
        <v>1269</v>
      </c>
    </row>
    <row r="825" spans="1:8" ht="12.75">
      <c r="A825" s="1822" t="s">
        <v>776</v>
      </c>
      <c r="B825" s="379" t="s">
        <v>777</v>
      </c>
      <c r="C825" s="1823" t="s">
        <v>3190</v>
      </c>
      <c r="D825" s="379" t="s">
        <v>3422</v>
      </c>
      <c r="E825" s="1168">
        <v>0</v>
      </c>
      <c r="F825" s="1168">
        <v>253000</v>
      </c>
      <c r="G825" s="1168">
        <v>252774</v>
      </c>
      <c r="H825" s="1168">
        <v>226</v>
      </c>
    </row>
    <row r="826" spans="1:8" ht="12.75">
      <c r="A826" s="1822" t="s">
        <v>778</v>
      </c>
      <c r="B826" s="379" t="s">
        <v>779</v>
      </c>
      <c r="C826" s="1823" t="s">
        <v>2176</v>
      </c>
      <c r="D826" s="379" t="s">
        <v>3422</v>
      </c>
      <c r="E826" s="1168">
        <v>0</v>
      </c>
      <c r="F826" s="1168">
        <v>1403000</v>
      </c>
      <c r="G826" s="1168">
        <v>0</v>
      </c>
      <c r="H826" s="1168">
        <v>1403000</v>
      </c>
    </row>
    <row r="827" spans="1:8" ht="12.75">
      <c r="A827" s="1822" t="s">
        <v>780</v>
      </c>
      <c r="B827" s="379" t="s">
        <v>781</v>
      </c>
      <c r="C827" s="1823" t="s">
        <v>2176</v>
      </c>
      <c r="D827" s="379" t="s">
        <v>3422</v>
      </c>
      <c r="E827" s="1168">
        <v>0</v>
      </c>
      <c r="F827" s="1168">
        <v>20000</v>
      </c>
      <c r="G827" s="1168">
        <v>0</v>
      </c>
      <c r="H827" s="1168">
        <v>20000</v>
      </c>
    </row>
    <row r="828" spans="1:8" ht="12.75">
      <c r="A828" s="1822" t="s">
        <v>782</v>
      </c>
      <c r="B828" s="379" t="s">
        <v>783</v>
      </c>
      <c r="C828" s="1823" t="s">
        <v>2176</v>
      </c>
      <c r="D828" s="379" t="s">
        <v>3422</v>
      </c>
      <c r="E828" s="1168">
        <v>0</v>
      </c>
      <c r="F828" s="1168">
        <v>500000</v>
      </c>
      <c r="G828" s="1168">
        <v>0</v>
      </c>
      <c r="H828" s="1168">
        <v>500000</v>
      </c>
    </row>
    <row r="829" spans="1:8" ht="12.75">
      <c r="A829" s="1822" t="s">
        <v>784</v>
      </c>
      <c r="B829" s="379" t="s">
        <v>785</v>
      </c>
      <c r="C829" s="1823" t="s">
        <v>2176</v>
      </c>
      <c r="D829" s="379" t="s">
        <v>3422</v>
      </c>
      <c r="E829" s="1168">
        <v>0</v>
      </c>
      <c r="F829" s="1168">
        <v>460000</v>
      </c>
      <c r="G829" s="1168">
        <v>0</v>
      </c>
      <c r="H829" s="1168">
        <v>460000</v>
      </c>
    </row>
    <row r="830" spans="1:8" ht="12.75">
      <c r="A830" s="1822" t="s">
        <v>786</v>
      </c>
      <c r="B830" s="379" t="s">
        <v>787</v>
      </c>
      <c r="C830" s="1823" t="s">
        <v>2176</v>
      </c>
      <c r="D830" s="379" t="s">
        <v>3422</v>
      </c>
      <c r="E830" s="1168">
        <v>0</v>
      </c>
      <c r="F830" s="1168">
        <v>4000</v>
      </c>
      <c r="G830" s="1168">
        <v>0</v>
      </c>
      <c r="H830" s="1168">
        <v>4000</v>
      </c>
    </row>
    <row r="831" spans="1:8" ht="12.75">
      <c r="A831" s="1822" t="s">
        <v>788</v>
      </c>
      <c r="B831" s="379" t="s">
        <v>789</v>
      </c>
      <c r="C831" s="1823" t="s">
        <v>2176</v>
      </c>
      <c r="D831" s="379" t="s">
        <v>3422</v>
      </c>
      <c r="E831" s="1168">
        <v>0</v>
      </c>
      <c r="F831" s="1168">
        <v>21000</v>
      </c>
      <c r="G831" s="1168">
        <v>0</v>
      </c>
      <c r="H831" s="1168">
        <v>21000</v>
      </c>
    </row>
    <row r="832" spans="1:8" ht="12.75">
      <c r="A832" s="1822" t="s">
        <v>790</v>
      </c>
      <c r="B832" s="379" t="s">
        <v>791</v>
      </c>
      <c r="C832" s="1823" t="s">
        <v>2532</v>
      </c>
      <c r="D832" s="379" t="s">
        <v>3422</v>
      </c>
      <c r="E832" s="1168">
        <v>0</v>
      </c>
      <c r="F832" s="1168">
        <v>330000</v>
      </c>
      <c r="G832" s="1168">
        <v>0</v>
      </c>
      <c r="H832" s="1168">
        <v>330000</v>
      </c>
    </row>
    <row r="833" spans="1:8" ht="12.75">
      <c r="A833" s="1822" t="s">
        <v>792</v>
      </c>
      <c r="B833" s="379" t="s">
        <v>793</v>
      </c>
      <c r="C833" s="1823" t="s">
        <v>2184</v>
      </c>
      <c r="D833" s="379" t="s">
        <v>3422</v>
      </c>
      <c r="E833" s="1168">
        <v>0</v>
      </c>
      <c r="F833" s="1168">
        <v>236000</v>
      </c>
      <c r="G833" s="1168">
        <v>17500</v>
      </c>
      <c r="H833" s="1168">
        <v>218500</v>
      </c>
    </row>
    <row r="834" spans="1:8" ht="12.75">
      <c r="A834" s="1822" t="s">
        <v>794</v>
      </c>
      <c r="B834" s="379" t="s">
        <v>795</v>
      </c>
      <c r="C834" s="1823" t="s">
        <v>2169</v>
      </c>
      <c r="D834" s="379" t="s">
        <v>3422</v>
      </c>
      <c r="E834" s="1168">
        <v>0</v>
      </c>
      <c r="F834" s="1168">
        <v>1529000</v>
      </c>
      <c r="G834" s="1168">
        <v>1528340</v>
      </c>
      <c r="H834" s="1168">
        <v>0</v>
      </c>
    </row>
    <row r="835" spans="1:8" ht="12.75">
      <c r="A835" s="1822" t="s">
        <v>796</v>
      </c>
      <c r="B835" s="379" t="s">
        <v>797</v>
      </c>
      <c r="C835" s="1823" t="s">
        <v>3190</v>
      </c>
      <c r="D835" s="379" t="s">
        <v>3422</v>
      </c>
      <c r="E835" s="1168">
        <v>0</v>
      </c>
      <c r="F835" s="1168">
        <v>1377000</v>
      </c>
      <c r="G835" s="1168">
        <v>1185962.33</v>
      </c>
      <c r="H835" s="1168">
        <v>191037</v>
      </c>
    </row>
    <row r="836" spans="1:8" ht="12.75">
      <c r="A836" s="1822" t="s">
        <v>798</v>
      </c>
      <c r="B836" s="379" t="s">
        <v>799</v>
      </c>
      <c r="C836" s="1823" t="s">
        <v>2561</v>
      </c>
      <c r="D836" s="379" t="s">
        <v>3422</v>
      </c>
      <c r="E836" s="1168">
        <v>0</v>
      </c>
      <c r="F836" s="1168">
        <v>550000</v>
      </c>
      <c r="G836" s="1168">
        <v>53100</v>
      </c>
      <c r="H836" s="1168">
        <v>496900</v>
      </c>
    </row>
    <row r="837" spans="1:8" ht="12.75">
      <c r="A837" s="1822" t="s">
        <v>800</v>
      </c>
      <c r="B837" s="379" t="s">
        <v>801</v>
      </c>
      <c r="C837" s="1823" t="s">
        <v>2532</v>
      </c>
      <c r="D837" s="379" t="s">
        <v>3422</v>
      </c>
      <c r="E837" s="1168">
        <v>0</v>
      </c>
      <c r="F837" s="1168">
        <v>1550000</v>
      </c>
      <c r="G837" s="1168">
        <v>1550000</v>
      </c>
      <c r="H837" s="1168">
        <v>0</v>
      </c>
    </row>
    <row r="838" spans="1:8" ht="12.75">
      <c r="A838" s="1822" t="s">
        <v>802</v>
      </c>
      <c r="B838" s="379" t="s">
        <v>803</v>
      </c>
      <c r="C838" s="1823" t="s">
        <v>2541</v>
      </c>
      <c r="D838" s="379" t="s">
        <v>3422</v>
      </c>
      <c r="E838" s="1168">
        <v>0</v>
      </c>
      <c r="F838" s="1168">
        <v>445000</v>
      </c>
      <c r="G838" s="1168">
        <v>0</v>
      </c>
      <c r="H838" s="1168">
        <v>445000</v>
      </c>
    </row>
    <row r="839" spans="1:8" ht="12.75">
      <c r="A839" s="1822" t="s">
        <v>802</v>
      </c>
      <c r="B839" s="379" t="s">
        <v>803</v>
      </c>
      <c r="C839" s="1823" t="s">
        <v>2541</v>
      </c>
      <c r="D839" s="379" t="s">
        <v>3423</v>
      </c>
      <c r="E839" s="1168">
        <v>0</v>
      </c>
      <c r="F839" s="1168">
        <v>40000</v>
      </c>
      <c r="G839" s="1168">
        <v>0</v>
      </c>
      <c r="H839" s="1168">
        <v>40000</v>
      </c>
    </row>
    <row r="840" spans="1:8" ht="12.75">
      <c r="A840" s="1822" t="s">
        <v>804</v>
      </c>
      <c r="B840" s="379" t="s">
        <v>805</v>
      </c>
      <c r="C840" s="1823" t="s">
        <v>2176</v>
      </c>
      <c r="D840" s="379" t="s">
        <v>3422</v>
      </c>
      <c r="E840" s="1168">
        <v>0</v>
      </c>
      <c r="F840" s="1168">
        <v>5380000</v>
      </c>
      <c r="G840" s="1168">
        <v>0</v>
      </c>
      <c r="H840" s="1168">
        <v>5380000</v>
      </c>
    </row>
    <row r="841" spans="1:8" ht="12.75">
      <c r="A841" s="1822" t="s">
        <v>804</v>
      </c>
      <c r="B841" s="379" t="s">
        <v>805</v>
      </c>
      <c r="C841" s="1823" t="s">
        <v>2176</v>
      </c>
      <c r="D841" s="379" t="s">
        <v>3423</v>
      </c>
      <c r="E841" s="1168">
        <v>0</v>
      </c>
      <c r="F841" s="1168">
        <v>1415000</v>
      </c>
      <c r="G841" s="1168">
        <v>0</v>
      </c>
      <c r="H841" s="1168">
        <v>1415000</v>
      </c>
    </row>
    <row r="842" spans="1:8" ht="12.75">
      <c r="A842" s="1822" t="s">
        <v>806</v>
      </c>
      <c r="B842" s="379" t="s">
        <v>805</v>
      </c>
      <c r="C842" s="1823" t="s">
        <v>2184</v>
      </c>
      <c r="D842" s="379" t="s">
        <v>3422</v>
      </c>
      <c r="E842" s="1168">
        <v>0</v>
      </c>
      <c r="F842" s="1168">
        <v>580000</v>
      </c>
      <c r="G842" s="1168">
        <v>343242</v>
      </c>
      <c r="H842" s="1168">
        <v>236758</v>
      </c>
    </row>
    <row r="843" spans="1:8" ht="12.75">
      <c r="A843" s="1822" t="s">
        <v>807</v>
      </c>
      <c r="B843" s="379" t="s">
        <v>808</v>
      </c>
      <c r="C843" s="1823" t="s">
        <v>2235</v>
      </c>
      <c r="D843" s="379" t="s">
        <v>3422</v>
      </c>
      <c r="E843" s="1168">
        <v>0</v>
      </c>
      <c r="F843" s="1168">
        <v>2334000</v>
      </c>
      <c r="G843" s="1168">
        <v>0</v>
      </c>
      <c r="H843" s="1168">
        <v>2334000</v>
      </c>
    </row>
    <row r="844" spans="1:8" ht="12.75">
      <c r="A844" s="1822" t="s">
        <v>809</v>
      </c>
      <c r="B844" s="379" t="s">
        <v>805</v>
      </c>
      <c r="C844" s="1823" t="s">
        <v>2561</v>
      </c>
      <c r="D844" s="379" t="s">
        <v>3423</v>
      </c>
      <c r="E844" s="1168">
        <v>0</v>
      </c>
      <c r="F844" s="1168">
        <v>10000</v>
      </c>
      <c r="G844" s="1168">
        <v>9996</v>
      </c>
      <c r="H844" s="1168">
        <v>4</v>
      </c>
    </row>
    <row r="845" spans="1:8" ht="12.75">
      <c r="A845" s="1822" t="s">
        <v>810</v>
      </c>
      <c r="B845" s="379" t="s">
        <v>805</v>
      </c>
      <c r="C845" s="1823" t="s">
        <v>2193</v>
      </c>
      <c r="D845" s="379" t="s">
        <v>3422</v>
      </c>
      <c r="E845" s="1168">
        <v>0</v>
      </c>
      <c r="F845" s="1168">
        <v>1033000</v>
      </c>
      <c r="G845" s="1168">
        <v>944626</v>
      </c>
      <c r="H845" s="1168">
        <v>88370</v>
      </c>
    </row>
    <row r="846" spans="1:8" ht="12.75">
      <c r="A846" s="1822" t="s">
        <v>810</v>
      </c>
      <c r="B846" s="379" t="s">
        <v>805</v>
      </c>
      <c r="C846" s="1823" t="s">
        <v>2193</v>
      </c>
      <c r="D846" s="379" t="s">
        <v>3423</v>
      </c>
      <c r="E846" s="1168">
        <v>0</v>
      </c>
      <c r="F846" s="1168">
        <v>379000</v>
      </c>
      <c r="G846" s="1168">
        <v>361727</v>
      </c>
      <c r="H846" s="1168">
        <v>17000</v>
      </c>
    </row>
    <row r="847" spans="1:8" ht="12.75">
      <c r="A847" s="1822" t="s">
        <v>811</v>
      </c>
      <c r="B847" s="379" t="s">
        <v>812</v>
      </c>
      <c r="C847" s="1823" t="s">
        <v>2541</v>
      </c>
      <c r="D847" s="379" t="s">
        <v>3422</v>
      </c>
      <c r="E847" s="1168">
        <v>0</v>
      </c>
      <c r="F847" s="1168">
        <v>117000</v>
      </c>
      <c r="G847" s="1168">
        <v>116972</v>
      </c>
      <c r="H847" s="1168">
        <v>28</v>
      </c>
    </row>
    <row r="848" spans="1:8" ht="12.75">
      <c r="A848" s="1822" t="s">
        <v>811</v>
      </c>
      <c r="B848" s="379" t="s">
        <v>812</v>
      </c>
      <c r="C848" s="1823" t="s">
        <v>2541</v>
      </c>
      <c r="D848" s="379" t="s">
        <v>3423</v>
      </c>
      <c r="E848" s="1168">
        <v>0</v>
      </c>
      <c r="F848" s="1168">
        <v>53000</v>
      </c>
      <c r="G848" s="1168">
        <v>6000</v>
      </c>
      <c r="H848" s="1168">
        <v>47000</v>
      </c>
    </row>
    <row r="849" spans="1:8" ht="12.75">
      <c r="A849" s="1822" t="s">
        <v>813</v>
      </c>
      <c r="B849" s="379" t="s">
        <v>814</v>
      </c>
      <c r="C849" s="1823" t="s">
        <v>2541</v>
      </c>
      <c r="D849" s="379" t="s">
        <v>3422</v>
      </c>
      <c r="E849" s="1168">
        <v>0</v>
      </c>
      <c r="F849" s="1168">
        <v>215000</v>
      </c>
      <c r="G849" s="1168">
        <v>185572</v>
      </c>
      <c r="H849" s="1168">
        <v>29428</v>
      </c>
    </row>
    <row r="850" spans="1:8" ht="12.75">
      <c r="A850" s="1822" t="s">
        <v>813</v>
      </c>
      <c r="B850" s="379" t="s">
        <v>814</v>
      </c>
      <c r="C850" s="1823" t="s">
        <v>2541</v>
      </c>
      <c r="D850" s="379" t="s">
        <v>3423</v>
      </c>
      <c r="E850" s="1168">
        <v>0</v>
      </c>
      <c r="F850" s="1168">
        <v>120000</v>
      </c>
      <c r="G850" s="1168">
        <v>6800</v>
      </c>
      <c r="H850" s="1168">
        <v>113200</v>
      </c>
    </row>
    <row r="851" spans="1:8" ht="12.75">
      <c r="A851" s="1822" t="s">
        <v>815</v>
      </c>
      <c r="B851" s="379" t="s">
        <v>816</v>
      </c>
      <c r="C851" s="1823" t="s">
        <v>2235</v>
      </c>
      <c r="D851" s="379" t="s">
        <v>3422</v>
      </c>
      <c r="E851" s="1168">
        <v>0</v>
      </c>
      <c r="F851" s="1168">
        <v>827000</v>
      </c>
      <c r="G851" s="1168">
        <v>0</v>
      </c>
      <c r="H851" s="1168">
        <v>827000</v>
      </c>
    </row>
    <row r="852" spans="1:8" ht="12.75">
      <c r="A852" s="1822" t="s">
        <v>817</v>
      </c>
      <c r="B852" s="379" t="s">
        <v>818</v>
      </c>
      <c r="C852" s="1823" t="s">
        <v>3190</v>
      </c>
      <c r="D852" s="379" t="s">
        <v>3422</v>
      </c>
      <c r="E852" s="1168">
        <v>0</v>
      </c>
      <c r="F852" s="1168">
        <v>70000</v>
      </c>
      <c r="G852" s="1168">
        <v>69972</v>
      </c>
      <c r="H852" s="1168">
        <v>28</v>
      </c>
    </row>
    <row r="853" spans="1:8" ht="12.75">
      <c r="A853" s="1822" t="s">
        <v>819</v>
      </c>
      <c r="B853" s="379" t="s">
        <v>820</v>
      </c>
      <c r="C853" s="1823" t="s">
        <v>717</v>
      </c>
      <c r="D853" s="379" t="s">
        <v>3422</v>
      </c>
      <c r="E853" s="1168">
        <v>0</v>
      </c>
      <c r="F853" s="1168">
        <v>0</v>
      </c>
      <c r="G853" s="1168">
        <v>1302059</v>
      </c>
      <c r="H853" s="1168">
        <v>0</v>
      </c>
    </row>
    <row r="854" spans="1:8" ht="12.75">
      <c r="A854" s="1822" t="s">
        <v>821</v>
      </c>
      <c r="B854" s="379" t="s">
        <v>822</v>
      </c>
      <c r="C854" s="1823" t="s">
        <v>3190</v>
      </c>
      <c r="D854" s="379" t="s">
        <v>3422</v>
      </c>
      <c r="E854" s="1168">
        <v>0</v>
      </c>
      <c r="F854" s="1168">
        <v>2000000</v>
      </c>
      <c r="G854" s="1168">
        <v>0</v>
      </c>
      <c r="H854" s="1168">
        <v>2000000</v>
      </c>
    </row>
    <row r="855" spans="1:8" ht="12.75">
      <c r="A855" s="1822" t="s">
        <v>823</v>
      </c>
      <c r="B855" s="379" t="s">
        <v>824</v>
      </c>
      <c r="C855" s="1823" t="s">
        <v>3190</v>
      </c>
      <c r="D855" s="379" t="s">
        <v>3422</v>
      </c>
      <c r="E855" s="1168">
        <v>0</v>
      </c>
      <c r="F855" s="1168">
        <v>1500000</v>
      </c>
      <c r="G855" s="1168">
        <v>0</v>
      </c>
      <c r="H855" s="1168">
        <v>1500000</v>
      </c>
    </row>
    <row r="856" spans="1:8" ht="12.75">
      <c r="A856" s="1822" t="s">
        <v>825</v>
      </c>
      <c r="B856" s="379" t="s">
        <v>826</v>
      </c>
      <c r="C856" s="1823" t="s">
        <v>3190</v>
      </c>
      <c r="D856" s="379" t="s">
        <v>3422</v>
      </c>
      <c r="E856" s="1168">
        <v>0</v>
      </c>
      <c r="F856" s="1168">
        <v>150000</v>
      </c>
      <c r="G856" s="1168">
        <v>69020</v>
      </c>
      <c r="H856" s="1168">
        <v>80980</v>
      </c>
    </row>
    <row r="857" spans="1:8" ht="12.75">
      <c r="A857" s="1822" t="s">
        <v>827</v>
      </c>
      <c r="B857" s="379" t="s">
        <v>2788</v>
      </c>
      <c r="C857" s="1823" t="s">
        <v>3190</v>
      </c>
      <c r="D857" s="379" t="s">
        <v>3422</v>
      </c>
      <c r="E857" s="1168">
        <v>0</v>
      </c>
      <c r="F857" s="1168">
        <v>1000000</v>
      </c>
      <c r="G857" s="1168">
        <v>0</v>
      </c>
      <c r="H857" s="1168">
        <v>1000000</v>
      </c>
    </row>
    <row r="858" spans="1:8" ht="12.75">
      <c r="A858" s="1822" t="s">
        <v>2789</v>
      </c>
      <c r="B858" s="379" t="s">
        <v>2790</v>
      </c>
      <c r="C858" s="1823" t="s">
        <v>3190</v>
      </c>
      <c r="D858" s="379" t="s">
        <v>3422</v>
      </c>
      <c r="E858" s="1168">
        <v>0</v>
      </c>
      <c r="F858" s="1168">
        <v>6000000</v>
      </c>
      <c r="G858" s="1168">
        <v>0</v>
      </c>
      <c r="H858" s="1168">
        <v>6000000</v>
      </c>
    </row>
    <row r="859" spans="1:8" ht="12.75">
      <c r="A859" s="1822" t="s">
        <v>2791</v>
      </c>
      <c r="B859" s="379" t="s">
        <v>2792</v>
      </c>
      <c r="C859" s="1823" t="s">
        <v>3190</v>
      </c>
      <c r="D859" s="379" t="s">
        <v>3422</v>
      </c>
      <c r="E859" s="1168">
        <v>0</v>
      </c>
      <c r="F859" s="1168">
        <v>991000</v>
      </c>
      <c r="G859" s="1168">
        <v>0</v>
      </c>
      <c r="H859" s="1168">
        <v>991000</v>
      </c>
    </row>
    <row r="860" spans="1:8" ht="12.75">
      <c r="A860" s="1822" t="s">
        <v>2793</v>
      </c>
      <c r="B860" s="379" t="s">
        <v>2794</v>
      </c>
      <c r="C860" s="1823" t="s">
        <v>2532</v>
      </c>
      <c r="D860" s="379" t="s">
        <v>3422</v>
      </c>
      <c r="E860" s="1168">
        <v>0</v>
      </c>
      <c r="F860" s="1168">
        <v>711000</v>
      </c>
      <c r="G860" s="1168">
        <v>206882</v>
      </c>
      <c r="H860" s="1168">
        <v>504000</v>
      </c>
    </row>
    <row r="861" spans="1:8" ht="12.75">
      <c r="A861" s="1822" t="s">
        <v>2795</v>
      </c>
      <c r="B861" s="379" t="s">
        <v>2796</v>
      </c>
      <c r="C861" s="1823" t="s">
        <v>2797</v>
      </c>
      <c r="D861" s="379" t="s">
        <v>3422</v>
      </c>
      <c r="E861" s="1168">
        <v>0</v>
      </c>
      <c r="F861" s="1168">
        <v>0</v>
      </c>
      <c r="G861" s="1168">
        <v>2103000</v>
      </c>
      <c r="H861" s="1168">
        <v>0</v>
      </c>
    </row>
    <row r="862" spans="1:8" ht="12.75">
      <c r="A862" s="1822" t="s">
        <v>2795</v>
      </c>
      <c r="B862" s="379" t="s">
        <v>2798</v>
      </c>
      <c r="C862" s="1823" t="s">
        <v>2532</v>
      </c>
      <c r="D862" s="379" t="s">
        <v>3422</v>
      </c>
      <c r="E862" s="1168">
        <v>0</v>
      </c>
      <c r="F862" s="1168">
        <v>39489000</v>
      </c>
      <c r="G862" s="1168">
        <v>4971813</v>
      </c>
      <c r="H862" s="1168">
        <v>34517000</v>
      </c>
    </row>
    <row r="863" spans="1:8" ht="12.75">
      <c r="A863" s="1822" t="s">
        <v>2799</v>
      </c>
      <c r="B863" s="379" t="s">
        <v>2800</v>
      </c>
      <c r="C863" s="1823" t="s">
        <v>2801</v>
      </c>
      <c r="D863" s="379" t="s">
        <v>3422</v>
      </c>
      <c r="E863" s="1168">
        <v>14208000</v>
      </c>
      <c r="F863" s="1168">
        <v>0</v>
      </c>
      <c r="G863" s="1168">
        <v>0</v>
      </c>
      <c r="H863" s="1168">
        <v>0</v>
      </c>
    </row>
    <row r="864" spans="1:8" s="174" customFormat="1" ht="12.75">
      <c r="A864" s="1824" t="s">
        <v>2802</v>
      </c>
      <c r="B864" s="1825"/>
      <c r="C864" s="1825"/>
      <c r="D864" s="1826"/>
      <c r="E864" s="1821">
        <v>496364000</v>
      </c>
      <c r="F864" s="1821">
        <v>479777000</v>
      </c>
      <c r="G864" s="1821">
        <v>325515975.07</v>
      </c>
      <c r="H864" s="1821">
        <v>166910738.46</v>
      </c>
    </row>
    <row r="865" spans="1:8" ht="12.75">
      <c r="A865" s="1822" t="s">
        <v>2803</v>
      </c>
      <c r="B865" s="379" t="s">
        <v>2804</v>
      </c>
      <c r="C865" s="1823" t="s">
        <v>3436</v>
      </c>
      <c r="D865" s="379" t="s">
        <v>3422</v>
      </c>
      <c r="E865" s="1168">
        <v>0</v>
      </c>
      <c r="F865" s="1168">
        <v>167000</v>
      </c>
      <c r="G865" s="1168">
        <v>166715</v>
      </c>
      <c r="H865" s="1168">
        <v>280</v>
      </c>
    </row>
    <row r="866" spans="1:8" ht="12.75">
      <c r="A866" s="1822" t="s">
        <v>2805</v>
      </c>
      <c r="B866" s="379" t="s">
        <v>2806</v>
      </c>
      <c r="C866" s="1823" t="s">
        <v>3190</v>
      </c>
      <c r="D866" s="379" t="s">
        <v>3422</v>
      </c>
      <c r="E866" s="1168">
        <v>0</v>
      </c>
      <c r="F866" s="1168">
        <v>10637000</v>
      </c>
      <c r="G866" s="1168">
        <v>0</v>
      </c>
      <c r="H866" s="1168">
        <v>10637000</v>
      </c>
    </row>
    <row r="867" spans="1:8" ht="12.75">
      <c r="A867" s="1822" t="s">
        <v>2807</v>
      </c>
      <c r="B867" s="379" t="s">
        <v>2808</v>
      </c>
      <c r="C867" s="1823" t="s">
        <v>3190</v>
      </c>
      <c r="D867" s="379" t="s">
        <v>3422</v>
      </c>
      <c r="E867" s="1168">
        <v>0</v>
      </c>
      <c r="F867" s="1168">
        <v>1736000</v>
      </c>
      <c r="G867" s="1168">
        <v>0</v>
      </c>
      <c r="H867" s="1168">
        <v>1736000</v>
      </c>
    </row>
    <row r="868" spans="1:8" ht="12.75">
      <c r="A868" s="1822" t="s">
        <v>2809</v>
      </c>
      <c r="B868" s="379" t="s">
        <v>2810</v>
      </c>
      <c r="C868" s="1823" t="s">
        <v>3190</v>
      </c>
      <c r="D868" s="379" t="s">
        <v>3423</v>
      </c>
      <c r="E868" s="1168">
        <v>0</v>
      </c>
      <c r="F868" s="1168">
        <v>146000</v>
      </c>
      <c r="G868" s="1168">
        <v>0</v>
      </c>
      <c r="H868" s="1168">
        <v>146000</v>
      </c>
    </row>
    <row r="869" spans="1:8" ht="12.75">
      <c r="A869" s="1822" t="s">
        <v>2811</v>
      </c>
      <c r="B869" s="379" t="s">
        <v>2812</v>
      </c>
      <c r="C869" s="1823" t="s">
        <v>3190</v>
      </c>
      <c r="D869" s="379" t="s">
        <v>3422</v>
      </c>
      <c r="E869" s="1168">
        <v>0</v>
      </c>
      <c r="F869" s="1168">
        <v>548000</v>
      </c>
      <c r="G869" s="1168">
        <v>0</v>
      </c>
      <c r="H869" s="1168">
        <v>548000</v>
      </c>
    </row>
    <row r="870" spans="1:8" ht="12.75">
      <c r="A870" s="1822" t="s">
        <v>2813</v>
      </c>
      <c r="B870" s="379" t="s">
        <v>2814</v>
      </c>
      <c r="C870" s="1823" t="s">
        <v>3436</v>
      </c>
      <c r="D870" s="379" t="s">
        <v>3422</v>
      </c>
      <c r="E870" s="1168">
        <v>0</v>
      </c>
      <c r="F870" s="1168">
        <v>7553000</v>
      </c>
      <c r="G870" s="1168">
        <v>7552292.1</v>
      </c>
      <c r="H870" s="1168">
        <v>700</v>
      </c>
    </row>
    <row r="871" spans="1:8" ht="12.75">
      <c r="A871" s="1822" t="s">
        <v>2815</v>
      </c>
      <c r="B871" s="379" t="s">
        <v>2816</v>
      </c>
      <c r="C871" s="1823" t="s">
        <v>3436</v>
      </c>
      <c r="D871" s="379" t="s">
        <v>3422</v>
      </c>
      <c r="E871" s="1168">
        <v>0</v>
      </c>
      <c r="F871" s="1168">
        <v>1407000</v>
      </c>
      <c r="G871" s="1168">
        <v>1406196</v>
      </c>
      <c r="H871" s="1168">
        <v>800</v>
      </c>
    </row>
    <row r="872" spans="1:8" ht="12.75">
      <c r="A872" s="1822" t="s">
        <v>2815</v>
      </c>
      <c r="B872" s="379" t="s">
        <v>2816</v>
      </c>
      <c r="C872" s="1823" t="s">
        <v>3436</v>
      </c>
      <c r="D872" s="379" t="s">
        <v>3423</v>
      </c>
      <c r="E872" s="1168">
        <v>0</v>
      </c>
      <c r="F872" s="1168">
        <v>176000</v>
      </c>
      <c r="G872" s="1168">
        <v>176000</v>
      </c>
      <c r="H872" s="1168">
        <v>0</v>
      </c>
    </row>
    <row r="873" spans="1:8" ht="12.75">
      <c r="A873" s="1822" t="s">
        <v>2817</v>
      </c>
      <c r="B873" s="379" t="s">
        <v>2818</v>
      </c>
      <c r="C873" s="1823" t="s">
        <v>3190</v>
      </c>
      <c r="D873" s="379" t="s">
        <v>3423</v>
      </c>
      <c r="E873" s="1168">
        <v>0</v>
      </c>
      <c r="F873" s="1168">
        <v>253000</v>
      </c>
      <c r="G873" s="1168">
        <v>0</v>
      </c>
      <c r="H873" s="1168">
        <v>253000</v>
      </c>
    </row>
    <row r="874" spans="1:8" ht="12.75">
      <c r="A874" s="1822" t="s">
        <v>2819</v>
      </c>
      <c r="B874" s="379" t="s">
        <v>2820</v>
      </c>
      <c r="C874" s="1823" t="s">
        <v>3436</v>
      </c>
      <c r="D874" s="379" t="s">
        <v>3422</v>
      </c>
      <c r="E874" s="1168">
        <v>4400000</v>
      </c>
      <c r="F874" s="1168">
        <v>1821000</v>
      </c>
      <c r="G874" s="1168">
        <v>1820923.8</v>
      </c>
      <c r="H874" s="1168">
        <v>70</v>
      </c>
    </row>
    <row r="875" spans="1:8" ht="12.75">
      <c r="A875" s="1822" t="s">
        <v>2821</v>
      </c>
      <c r="B875" s="379" t="s">
        <v>2822</v>
      </c>
      <c r="C875" s="1823" t="s">
        <v>3436</v>
      </c>
      <c r="D875" s="379" t="s">
        <v>3422</v>
      </c>
      <c r="E875" s="1168">
        <v>63869000</v>
      </c>
      <c r="F875" s="1168">
        <v>43576000</v>
      </c>
      <c r="G875" s="1168">
        <v>43575132.5</v>
      </c>
      <c r="H875" s="1168">
        <v>860</v>
      </c>
    </row>
    <row r="876" spans="1:8" ht="12.75">
      <c r="A876" s="1822" t="s">
        <v>2823</v>
      </c>
      <c r="B876" s="379" t="s">
        <v>2824</v>
      </c>
      <c r="C876" s="1823" t="s">
        <v>3436</v>
      </c>
      <c r="D876" s="379" t="s">
        <v>3422</v>
      </c>
      <c r="E876" s="1168">
        <v>40894000</v>
      </c>
      <c r="F876" s="1168">
        <v>18308000</v>
      </c>
      <c r="G876" s="1168">
        <v>18307211.5</v>
      </c>
      <c r="H876" s="1168">
        <v>780</v>
      </c>
    </row>
    <row r="877" spans="1:8" ht="12.75">
      <c r="A877" s="1822" t="s">
        <v>2825</v>
      </c>
      <c r="B877" s="379" t="s">
        <v>2826</v>
      </c>
      <c r="C877" s="1823" t="s">
        <v>3436</v>
      </c>
      <c r="D877" s="379" t="s">
        <v>3422</v>
      </c>
      <c r="E877" s="1168">
        <v>74262000</v>
      </c>
      <c r="F877" s="1168">
        <v>49165000</v>
      </c>
      <c r="G877" s="1168">
        <v>49164940.2</v>
      </c>
      <c r="H877" s="1168">
        <v>50</v>
      </c>
    </row>
    <row r="878" spans="1:8" ht="12.75">
      <c r="A878" s="1822" t="s">
        <v>2827</v>
      </c>
      <c r="B878" s="379" t="s">
        <v>2828</v>
      </c>
      <c r="C878" s="1823" t="s">
        <v>3436</v>
      </c>
      <c r="D878" s="379" t="s">
        <v>3422</v>
      </c>
      <c r="E878" s="1168">
        <v>5040000</v>
      </c>
      <c r="F878" s="1168">
        <v>6196000</v>
      </c>
      <c r="G878" s="1168">
        <v>6195178.1</v>
      </c>
      <c r="H878" s="1168">
        <v>820</v>
      </c>
    </row>
    <row r="879" spans="1:8" ht="12.75">
      <c r="A879" s="1822" t="s">
        <v>2829</v>
      </c>
      <c r="B879" s="379" t="s">
        <v>2830</v>
      </c>
      <c r="C879" s="1823" t="s">
        <v>3436</v>
      </c>
      <c r="D879" s="379" t="s">
        <v>3422</v>
      </c>
      <c r="E879" s="1168">
        <v>5160000</v>
      </c>
      <c r="F879" s="1168">
        <v>10075000</v>
      </c>
      <c r="G879" s="1168">
        <v>10074572.36</v>
      </c>
      <c r="H879" s="1168">
        <v>420</v>
      </c>
    </row>
    <row r="880" spans="1:8" ht="12.75">
      <c r="A880" s="1822" t="s">
        <v>2831</v>
      </c>
      <c r="B880" s="379" t="s">
        <v>2832</v>
      </c>
      <c r="C880" s="1823" t="s">
        <v>3436</v>
      </c>
      <c r="D880" s="379" t="s">
        <v>3422</v>
      </c>
      <c r="E880" s="1168">
        <v>2000000</v>
      </c>
      <c r="F880" s="1168">
        <v>5126000</v>
      </c>
      <c r="G880" s="1168">
        <v>5125346</v>
      </c>
      <c r="H880" s="1168">
        <v>650</v>
      </c>
    </row>
    <row r="881" spans="1:8" ht="12.75">
      <c r="A881" s="1822">
        <v>2141134008</v>
      </c>
      <c r="B881" s="379" t="s">
        <v>2833</v>
      </c>
      <c r="C881" s="1823" t="s">
        <v>3436</v>
      </c>
      <c r="D881" s="379" t="s">
        <v>3422</v>
      </c>
      <c r="E881" s="1168">
        <v>4200000</v>
      </c>
      <c r="F881" s="1168">
        <v>0</v>
      </c>
      <c r="G881" s="1168">
        <v>0</v>
      </c>
      <c r="H881" s="1168">
        <v>0</v>
      </c>
    </row>
    <row r="882" spans="1:8" ht="12.75">
      <c r="A882" s="1822" t="s">
        <v>2834</v>
      </c>
      <c r="B882" s="379" t="s">
        <v>2835</v>
      </c>
      <c r="C882" s="1823" t="s">
        <v>3436</v>
      </c>
      <c r="D882" s="379" t="s">
        <v>3422</v>
      </c>
      <c r="E882" s="1168">
        <v>10200000</v>
      </c>
      <c r="F882" s="1168">
        <v>21184000</v>
      </c>
      <c r="G882" s="1168">
        <v>21183504.01</v>
      </c>
      <c r="H882" s="1168">
        <v>490</v>
      </c>
    </row>
    <row r="883" spans="1:8" ht="12.75">
      <c r="A883" s="1822">
        <v>2141134010</v>
      </c>
      <c r="B883" s="379" t="s">
        <v>2836</v>
      </c>
      <c r="C883" s="1823" t="s">
        <v>3436</v>
      </c>
      <c r="D883" s="379" t="s">
        <v>3422</v>
      </c>
      <c r="E883" s="1168">
        <v>8850000</v>
      </c>
      <c r="F883" s="1168">
        <v>0</v>
      </c>
      <c r="G883" s="1168">
        <v>0</v>
      </c>
      <c r="H883" s="1168">
        <v>0</v>
      </c>
    </row>
    <row r="884" spans="1:8" ht="12.75">
      <c r="A884" s="1822" t="s">
        <v>2837</v>
      </c>
      <c r="B884" s="379" t="s">
        <v>2838</v>
      </c>
      <c r="C884" s="1823" t="s">
        <v>3436</v>
      </c>
      <c r="D884" s="379" t="s">
        <v>3422</v>
      </c>
      <c r="E884" s="1168">
        <v>6000000</v>
      </c>
      <c r="F884" s="1168">
        <v>3150000</v>
      </c>
      <c r="G884" s="1168">
        <v>3149438.22</v>
      </c>
      <c r="H884" s="1168">
        <v>560</v>
      </c>
    </row>
    <row r="885" spans="1:8" ht="12.75">
      <c r="A885" s="1822">
        <v>2141134012</v>
      </c>
      <c r="B885" s="379" t="s">
        <v>2839</v>
      </c>
      <c r="C885" s="1823" t="s">
        <v>3436</v>
      </c>
      <c r="D885" s="379" t="s">
        <v>3422</v>
      </c>
      <c r="E885" s="1168">
        <v>12000000</v>
      </c>
      <c r="F885" s="1168">
        <v>0</v>
      </c>
      <c r="G885" s="1168">
        <v>0</v>
      </c>
      <c r="H885" s="1168">
        <v>0</v>
      </c>
    </row>
    <row r="886" spans="1:8" ht="12.75">
      <c r="A886" s="1822">
        <v>2141134013</v>
      </c>
      <c r="B886" s="379" t="s">
        <v>2840</v>
      </c>
      <c r="C886" s="1823" t="s">
        <v>3436</v>
      </c>
      <c r="D886" s="379" t="s">
        <v>3422</v>
      </c>
      <c r="E886" s="1168">
        <v>1760000</v>
      </c>
      <c r="F886" s="1168">
        <v>0</v>
      </c>
      <c r="G886" s="1168">
        <v>0</v>
      </c>
      <c r="H886" s="1168">
        <v>0</v>
      </c>
    </row>
    <row r="887" spans="1:8" ht="12.75">
      <c r="A887" s="1822">
        <v>2141134014</v>
      </c>
      <c r="B887" s="379" t="s">
        <v>2841</v>
      </c>
      <c r="C887" s="1823" t="s">
        <v>3436</v>
      </c>
      <c r="D887" s="379" t="s">
        <v>3422</v>
      </c>
      <c r="E887" s="1168">
        <v>10800000</v>
      </c>
      <c r="F887" s="1168">
        <v>0</v>
      </c>
      <c r="G887" s="1168">
        <v>0</v>
      </c>
      <c r="H887" s="1168">
        <v>0</v>
      </c>
    </row>
    <row r="888" spans="1:8" ht="12.75">
      <c r="A888" s="1822">
        <v>2141134015</v>
      </c>
      <c r="B888" s="379" t="s">
        <v>2842</v>
      </c>
      <c r="C888" s="1823" t="s">
        <v>3436</v>
      </c>
      <c r="D888" s="379" t="s">
        <v>3422</v>
      </c>
      <c r="E888" s="1168">
        <v>1000000</v>
      </c>
      <c r="F888" s="1168">
        <v>0</v>
      </c>
      <c r="G888" s="1168">
        <v>0</v>
      </c>
      <c r="H888" s="1168">
        <v>0</v>
      </c>
    </row>
    <row r="889" spans="1:8" ht="12.75">
      <c r="A889" s="1822" t="s">
        <v>2843</v>
      </c>
      <c r="B889" s="379" t="s">
        <v>2844</v>
      </c>
      <c r="C889" s="1823" t="s">
        <v>3436</v>
      </c>
      <c r="D889" s="379" t="s">
        <v>3422</v>
      </c>
      <c r="E889" s="1168">
        <v>12000000</v>
      </c>
      <c r="F889" s="1168">
        <v>11838000</v>
      </c>
      <c r="G889" s="1168">
        <v>11786613.75</v>
      </c>
      <c r="H889" s="1168">
        <v>51380</v>
      </c>
    </row>
    <row r="890" spans="1:8" ht="12.75">
      <c r="A890" s="1822" t="s">
        <v>2845</v>
      </c>
      <c r="B890" s="379" t="s">
        <v>2846</v>
      </c>
      <c r="C890" s="1823" t="s">
        <v>3436</v>
      </c>
      <c r="D890" s="379" t="s">
        <v>3422</v>
      </c>
      <c r="E890" s="1168">
        <v>32490000</v>
      </c>
      <c r="F890" s="1168">
        <v>30452000</v>
      </c>
      <c r="G890" s="1168">
        <v>30451059</v>
      </c>
      <c r="H890" s="1168">
        <v>940</v>
      </c>
    </row>
    <row r="891" spans="1:8" ht="12.75">
      <c r="A891" s="1822" t="s">
        <v>2847</v>
      </c>
      <c r="B891" s="379" t="s">
        <v>2848</v>
      </c>
      <c r="C891" s="1823" t="s">
        <v>3436</v>
      </c>
      <c r="D891" s="379" t="s">
        <v>3422</v>
      </c>
      <c r="E891" s="1168">
        <v>4000000</v>
      </c>
      <c r="F891" s="1168">
        <v>3004000</v>
      </c>
      <c r="G891" s="1168">
        <v>3003632</v>
      </c>
      <c r="H891" s="1168">
        <v>360</v>
      </c>
    </row>
    <row r="892" spans="1:8" ht="12.75">
      <c r="A892" s="1822" t="s">
        <v>2849</v>
      </c>
      <c r="B892" s="379" t="s">
        <v>2850</v>
      </c>
      <c r="C892" s="1823" t="s">
        <v>3436</v>
      </c>
      <c r="D892" s="379" t="s">
        <v>3422</v>
      </c>
      <c r="E892" s="1168">
        <v>5000000</v>
      </c>
      <c r="F892" s="1168">
        <v>4092000</v>
      </c>
      <c r="G892" s="1168">
        <v>4091046</v>
      </c>
      <c r="H892" s="1168">
        <v>950</v>
      </c>
    </row>
    <row r="893" spans="1:8" ht="12.75">
      <c r="A893" s="1822">
        <v>2141134020</v>
      </c>
      <c r="B893" s="379" t="s">
        <v>2851</v>
      </c>
      <c r="C893" s="1823" t="s">
        <v>2169</v>
      </c>
      <c r="D893" s="379" t="s">
        <v>3422</v>
      </c>
      <c r="E893" s="1168">
        <v>540000</v>
      </c>
      <c r="F893" s="1168">
        <v>0</v>
      </c>
      <c r="G893" s="1168">
        <v>0</v>
      </c>
      <c r="H893" s="1168">
        <v>0</v>
      </c>
    </row>
    <row r="894" spans="1:8" ht="12.75">
      <c r="A894" s="1822" t="s">
        <v>2852</v>
      </c>
      <c r="B894" s="379" t="s">
        <v>2853</v>
      </c>
      <c r="C894" s="1823" t="s">
        <v>3436</v>
      </c>
      <c r="D894" s="379" t="s">
        <v>3422</v>
      </c>
      <c r="E894" s="1168">
        <v>11780000</v>
      </c>
      <c r="F894" s="1168">
        <v>6323000</v>
      </c>
      <c r="G894" s="1168">
        <v>0</v>
      </c>
      <c r="H894" s="1168">
        <v>6323000</v>
      </c>
    </row>
    <row r="895" spans="1:8" ht="12.75">
      <c r="A895" s="1822" t="s">
        <v>2854</v>
      </c>
      <c r="B895" s="379" t="s">
        <v>2855</v>
      </c>
      <c r="C895" s="1823" t="s">
        <v>3436</v>
      </c>
      <c r="D895" s="379" t="s">
        <v>3422</v>
      </c>
      <c r="E895" s="1168">
        <v>1500000</v>
      </c>
      <c r="F895" s="1168">
        <v>2700000</v>
      </c>
      <c r="G895" s="1168">
        <v>0</v>
      </c>
      <c r="H895" s="1168">
        <v>2700000</v>
      </c>
    </row>
    <row r="896" spans="1:8" ht="12.75">
      <c r="A896" s="1822" t="s">
        <v>2856</v>
      </c>
      <c r="B896" s="379" t="s">
        <v>2857</v>
      </c>
      <c r="C896" s="1823" t="s">
        <v>3436</v>
      </c>
      <c r="D896" s="379" t="s">
        <v>3422</v>
      </c>
      <c r="E896" s="1168">
        <v>4000000</v>
      </c>
      <c r="F896" s="1168">
        <v>1488000</v>
      </c>
      <c r="G896" s="1168">
        <v>1487368</v>
      </c>
      <c r="H896" s="1168">
        <v>630</v>
      </c>
    </row>
    <row r="897" spans="1:8" ht="12.75">
      <c r="A897" s="1822">
        <v>2141134024</v>
      </c>
      <c r="B897" s="379" t="s">
        <v>2858</v>
      </c>
      <c r="C897" s="1823" t="s">
        <v>3436</v>
      </c>
      <c r="D897" s="379" t="s">
        <v>3422</v>
      </c>
      <c r="E897" s="1168">
        <v>750000</v>
      </c>
      <c r="F897" s="1168">
        <v>0</v>
      </c>
      <c r="G897" s="1168">
        <v>0</v>
      </c>
      <c r="H897" s="1168">
        <v>0</v>
      </c>
    </row>
    <row r="898" spans="1:8" ht="12.75">
      <c r="A898" s="1822">
        <v>2141134025</v>
      </c>
      <c r="B898" s="379" t="s">
        <v>2859</v>
      </c>
      <c r="C898" s="1823" t="s">
        <v>3436</v>
      </c>
      <c r="D898" s="379" t="s">
        <v>3422</v>
      </c>
      <c r="E898" s="1168">
        <v>1050000</v>
      </c>
      <c r="F898" s="1168">
        <v>0</v>
      </c>
      <c r="G898" s="1168">
        <v>0</v>
      </c>
      <c r="H898" s="1168">
        <v>0</v>
      </c>
    </row>
    <row r="899" spans="1:8" ht="12.75">
      <c r="A899" s="1822">
        <v>2141134026</v>
      </c>
      <c r="B899" s="379" t="s">
        <v>2860</v>
      </c>
      <c r="C899" s="1823" t="s">
        <v>3436</v>
      </c>
      <c r="D899" s="379" t="s">
        <v>3422</v>
      </c>
      <c r="E899" s="1168">
        <v>4000000</v>
      </c>
      <c r="F899" s="1168">
        <v>0</v>
      </c>
      <c r="G899" s="1168">
        <v>0</v>
      </c>
      <c r="H899" s="1168">
        <v>0</v>
      </c>
    </row>
    <row r="900" spans="1:8" ht="12.75">
      <c r="A900" s="1822" t="s">
        <v>2861</v>
      </c>
      <c r="B900" s="379" t="s">
        <v>2862</v>
      </c>
      <c r="C900" s="1823" t="s">
        <v>3190</v>
      </c>
      <c r="D900" s="379" t="s">
        <v>3422</v>
      </c>
      <c r="E900" s="1168">
        <v>80000</v>
      </c>
      <c r="F900" s="1168">
        <v>80000</v>
      </c>
      <c r="G900" s="1168">
        <v>79135</v>
      </c>
      <c r="H900" s="1168">
        <v>865</v>
      </c>
    </row>
    <row r="901" spans="1:8" ht="12.75">
      <c r="A901" s="1822" t="s">
        <v>2863</v>
      </c>
      <c r="B901" s="379" t="s">
        <v>2864</v>
      </c>
      <c r="C901" s="1823" t="s">
        <v>3190</v>
      </c>
      <c r="D901" s="379" t="s">
        <v>3422</v>
      </c>
      <c r="E901" s="1168">
        <v>130000</v>
      </c>
      <c r="F901" s="1168">
        <v>128000</v>
      </c>
      <c r="G901" s="1168">
        <v>127152</v>
      </c>
      <c r="H901" s="1168">
        <v>848</v>
      </c>
    </row>
    <row r="902" spans="1:8" ht="12.75">
      <c r="A902" s="1822" t="s">
        <v>2865</v>
      </c>
      <c r="B902" s="379" t="s">
        <v>2866</v>
      </c>
      <c r="C902" s="1823" t="s">
        <v>3190</v>
      </c>
      <c r="D902" s="379" t="s">
        <v>3422</v>
      </c>
      <c r="E902" s="1168">
        <v>100000</v>
      </c>
      <c r="F902" s="1168">
        <v>97000</v>
      </c>
      <c r="G902" s="1168">
        <v>96271</v>
      </c>
      <c r="H902" s="1168">
        <v>729</v>
      </c>
    </row>
    <row r="903" spans="1:8" ht="12.75">
      <c r="A903" s="1822" t="s">
        <v>2867</v>
      </c>
      <c r="B903" s="379" t="s">
        <v>2868</v>
      </c>
      <c r="C903" s="1823" t="s">
        <v>2169</v>
      </c>
      <c r="D903" s="379" t="s">
        <v>3422</v>
      </c>
      <c r="E903" s="1168">
        <v>400000</v>
      </c>
      <c r="F903" s="1168">
        <v>130000</v>
      </c>
      <c r="G903" s="1168">
        <v>129998</v>
      </c>
      <c r="H903" s="1168">
        <v>0</v>
      </c>
    </row>
    <row r="904" spans="1:8" ht="12.75">
      <c r="A904" s="1822" t="s">
        <v>2869</v>
      </c>
      <c r="B904" s="379" t="s">
        <v>2870</v>
      </c>
      <c r="C904" s="1823" t="s">
        <v>2541</v>
      </c>
      <c r="D904" s="379" t="s">
        <v>3422</v>
      </c>
      <c r="E904" s="1168">
        <v>980000</v>
      </c>
      <c r="F904" s="1168">
        <v>522000</v>
      </c>
      <c r="G904" s="1168">
        <v>521577</v>
      </c>
      <c r="H904" s="1168">
        <v>423</v>
      </c>
    </row>
    <row r="905" spans="1:8" ht="12.75">
      <c r="A905" s="1822" t="s">
        <v>2871</v>
      </c>
      <c r="B905" s="379" t="s">
        <v>2872</v>
      </c>
      <c r="C905" s="1823" t="s">
        <v>2561</v>
      </c>
      <c r="D905" s="379" t="s">
        <v>3422</v>
      </c>
      <c r="E905" s="1168">
        <v>120000</v>
      </c>
      <c r="F905" s="1168">
        <v>120000</v>
      </c>
      <c r="G905" s="1168">
        <v>119773</v>
      </c>
      <c r="H905" s="1168">
        <v>227</v>
      </c>
    </row>
    <row r="906" spans="1:8" ht="12.75">
      <c r="A906" s="1822" t="s">
        <v>2873</v>
      </c>
      <c r="B906" s="379" t="s">
        <v>2874</v>
      </c>
      <c r="C906" s="1823" t="s">
        <v>2561</v>
      </c>
      <c r="D906" s="379" t="s">
        <v>3422</v>
      </c>
      <c r="E906" s="1168">
        <v>140000</v>
      </c>
      <c r="F906" s="1168">
        <v>117000</v>
      </c>
      <c r="G906" s="1168">
        <v>116263</v>
      </c>
      <c r="H906" s="1168">
        <v>737</v>
      </c>
    </row>
    <row r="907" spans="1:8" ht="12.75">
      <c r="A907" s="1822" t="s">
        <v>2875</v>
      </c>
      <c r="B907" s="379" t="s">
        <v>2876</v>
      </c>
      <c r="C907" s="1823" t="s">
        <v>2561</v>
      </c>
      <c r="D907" s="379" t="s">
        <v>3422</v>
      </c>
      <c r="E907" s="1168">
        <v>160000</v>
      </c>
      <c r="F907" s="1168">
        <v>159000</v>
      </c>
      <c r="G907" s="1168">
        <v>158508</v>
      </c>
      <c r="H907" s="1168">
        <v>492</v>
      </c>
    </row>
    <row r="908" spans="1:8" ht="12.75">
      <c r="A908" s="1822" t="s">
        <v>2877</v>
      </c>
      <c r="B908" s="379" t="s">
        <v>2878</v>
      </c>
      <c r="C908" s="1823" t="s">
        <v>2561</v>
      </c>
      <c r="D908" s="379" t="s">
        <v>3422</v>
      </c>
      <c r="E908" s="1168">
        <v>240000</v>
      </c>
      <c r="F908" s="1168">
        <v>218000</v>
      </c>
      <c r="G908" s="1168">
        <v>217770</v>
      </c>
      <c r="H908" s="1168">
        <v>230</v>
      </c>
    </row>
    <row r="909" spans="1:8" ht="12.75">
      <c r="A909" s="1822" t="s">
        <v>2879</v>
      </c>
      <c r="B909" s="379" t="s">
        <v>2880</v>
      </c>
      <c r="C909" s="1823" t="s">
        <v>2561</v>
      </c>
      <c r="D909" s="379" t="s">
        <v>3422</v>
      </c>
      <c r="E909" s="1168">
        <v>400000</v>
      </c>
      <c r="F909" s="1168">
        <v>580000</v>
      </c>
      <c r="G909" s="1168">
        <v>579057</v>
      </c>
      <c r="H909" s="1168">
        <v>943</v>
      </c>
    </row>
    <row r="910" spans="1:8" ht="12.75">
      <c r="A910" s="1822" t="s">
        <v>2881</v>
      </c>
      <c r="B910" s="379" t="s">
        <v>2882</v>
      </c>
      <c r="C910" s="1823" t="s">
        <v>2193</v>
      </c>
      <c r="D910" s="379" t="s">
        <v>3422</v>
      </c>
      <c r="E910" s="1168">
        <v>490000</v>
      </c>
      <c r="F910" s="1168">
        <v>489000</v>
      </c>
      <c r="G910" s="1168">
        <v>488971</v>
      </c>
      <c r="H910" s="1168">
        <v>0</v>
      </c>
    </row>
    <row r="911" spans="1:8" ht="12.75">
      <c r="A911" s="1822" t="s">
        <v>2883</v>
      </c>
      <c r="B911" s="379" t="s">
        <v>2878</v>
      </c>
      <c r="C911" s="1823" t="s">
        <v>2193</v>
      </c>
      <c r="D911" s="379" t="s">
        <v>3422</v>
      </c>
      <c r="E911" s="1168">
        <v>320000</v>
      </c>
      <c r="F911" s="1168">
        <v>336000</v>
      </c>
      <c r="G911" s="1168">
        <v>335480</v>
      </c>
      <c r="H911" s="1168">
        <v>500</v>
      </c>
    </row>
    <row r="912" spans="1:8" ht="12.75">
      <c r="A912" s="1822" t="s">
        <v>2884</v>
      </c>
      <c r="B912" s="379" t="s">
        <v>2885</v>
      </c>
      <c r="C912" s="1823" t="s">
        <v>2532</v>
      </c>
      <c r="D912" s="379" t="s">
        <v>3422</v>
      </c>
      <c r="E912" s="1168">
        <v>495000</v>
      </c>
      <c r="F912" s="1168">
        <v>168000</v>
      </c>
      <c r="G912" s="1168">
        <v>167147</v>
      </c>
      <c r="H912" s="1168">
        <v>0</v>
      </c>
    </row>
    <row r="913" spans="1:8" ht="12.75">
      <c r="A913" s="1822" t="s">
        <v>2884</v>
      </c>
      <c r="B913" s="379" t="s">
        <v>2885</v>
      </c>
      <c r="C913" s="1823" t="s">
        <v>2532</v>
      </c>
      <c r="D913" s="379" t="s">
        <v>3423</v>
      </c>
      <c r="E913" s="1168">
        <v>0</v>
      </c>
      <c r="F913" s="1168">
        <v>184000</v>
      </c>
      <c r="G913" s="1168">
        <v>183935.3</v>
      </c>
      <c r="H913" s="1168">
        <v>0</v>
      </c>
    </row>
    <row r="914" spans="1:8" ht="12.75">
      <c r="A914" s="1822">
        <v>2141134040</v>
      </c>
      <c r="B914" s="379" t="s">
        <v>2886</v>
      </c>
      <c r="C914" s="1823" t="s">
        <v>2184</v>
      </c>
      <c r="D914" s="379" t="s">
        <v>3422</v>
      </c>
      <c r="E914" s="1168">
        <v>400000</v>
      </c>
      <c r="F914" s="1168">
        <v>0</v>
      </c>
      <c r="G914" s="1168">
        <v>0</v>
      </c>
      <c r="H914" s="1168">
        <v>0</v>
      </c>
    </row>
    <row r="915" spans="1:8" ht="12.75">
      <c r="A915" s="1822" t="s">
        <v>2887</v>
      </c>
      <c r="B915" s="379" t="s">
        <v>2888</v>
      </c>
      <c r="C915" s="1823" t="s">
        <v>2184</v>
      </c>
      <c r="D915" s="379" t="s">
        <v>3422</v>
      </c>
      <c r="E915" s="1168">
        <v>800000</v>
      </c>
      <c r="F915" s="1168">
        <v>431000</v>
      </c>
      <c r="G915" s="1168">
        <v>430423</v>
      </c>
      <c r="H915" s="1168">
        <v>577</v>
      </c>
    </row>
    <row r="916" spans="1:8" ht="12.75">
      <c r="A916" s="1822" t="s">
        <v>2889</v>
      </c>
      <c r="B916" s="379" t="s">
        <v>2890</v>
      </c>
      <c r="C916" s="1823" t="s">
        <v>2184</v>
      </c>
      <c r="D916" s="379" t="s">
        <v>3422</v>
      </c>
      <c r="E916" s="1168">
        <v>80000</v>
      </c>
      <c r="F916" s="1168">
        <v>69000</v>
      </c>
      <c r="G916" s="1168">
        <v>68999.5</v>
      </c>
      <c r="H916" s="1168">
        <v>0</v>
      </c>
    </row>
    <row r="917" spans="1:8" ht="12.75">
      <c r="A917" s="1822" t="s">
        <v>2891</v>
      </c>
      <c r="B917" s="379" t="s">
        <v>2892</v>
      </c>
      <c r="C917" s="1823" t="s">
        <v>2184</v>
      </c>
      <c r="D917" s="379" t="s">
        <v>3422</v>
      </c>
      <c r="E917" s="1168">
        <v>240000</v>
      </c>
      <c r="F917" s="1168">
        <v>240000</v>
      </c>
      <c r="G917" s="1168">
        <v>239476</v>
      </c>
      <c r="H917" s="1168">
        <v>524</v>
      </c>
    </row>
    <row r="918" spans="1:8" ht="12.75">
      <c r="A918" s="1822" t="s">
        <v>2893</v>
      </c>
      <c r="B918" s="379" t="s">
        <v>2894</v>
      </c>
      <c r="C918" s="1823" t="s">
        <v>2184</v>
      </c>
      <c r="D918" s="379" t="s">
        <v>3422</v>
      </c>
      <c r="E918" s="1168">
        <v>80000</v>
      </c>
      <c r="F918" s="1168">
        <v>80000</v>
      </c>
      <c r="G918" s="1168">
        <v>79016</v>
      </c>
      <c r="H918" s="1168">
        <v>984</v>
      </c>
    </row>
    <row r="919" spans="1:8" ht="12.75">
      <c r="A919" s="1822" t="s">
        <v>2895</v>
      </c>
      <c r="B919" s="379" t="s">
        <v>2878</v>
      </c>
      <c r="C919" s="1823" t="s">
        <v>2184</v>
      </c>
      <c r="D919" s="379" t="s">
        <v>3422</v>
      </c>
      <c r="E919" s="1168">
        <v>320000</v>
      </c>
      <c r="F919" s="1168">
        <v>305000</v>
      </c>
      <c r="G919" s="1168">
        <v>304640</v>
      </c>
      <c r="H919" s="1168">
        <v>360</v>
      </c>
    </row>
    <row r="920" spans="1:8" ht="12.75">
      <c r="A920" s="1822" t="s">
        <v>2896</v>
      </c>
      <c r="B920" s="379" t="s">
        <v>2897</v>
      </c>
      <c r="C920" s="1823" t="s">
        <v>2184</v>
      </c>
      <c r="D920" s="379" t="s">
        <v>3422</v>
      </c>
      <c r="E920" s="1168">
        <v>45000</v>
      </c>
      <c r="F920" s="1168">
        <v>41000</v>
      </c>
      <c r="G920" s="1168">
        <v>40103</v>
      </c>
      <c r="H920" s="1168">
        <v>897</v>
      </c>
    </row>
    <row r="921" spans="1:8" ht="12.75">
      <c r="A921" s="1822" t="s">
        <v>2898</v>
      </c>
      <c r="B921" s="379" t="s">
        <v>2899</v>
      </c>
      <c r="C921" s="1823" t="s">
        <v>2235</v>
      </c>
      <c r="D921" s="379" t="s">
        <v>3422</v>
      </c>
      <c r="E921" s="1168">
        <v>872000</v>
      </c>
      <c r="F921" s="1168">
        <v>614000</v>
      </c>
      <c r="G921" s="1168">
        <v>613148</v>
      </c>
      <c r="H921" s="1168">
        <v>852</v>
      </c>
    </row>
    <row r="922" spans="1:8" ht="12.75">
      <c r="A922" s="1822" t="s">
        <v>2900</v>
      </c>
      <c r="B922" s="379" t="s">
        <v>2901</v>
      </c>
      <c r="C922" s="1823" t="s">
        <v>2235</v>
      </c>
      <c r="D922" s="379" t="s">
        <v>3422</v>
      </c>
      <c r="E922" s="1168">
        <v>508000</v>
      </c>
      <c r="F922" s="1168">
        <v>685000</v>
      </c>
      <c r="G922" s="1168">
        <v>685000</v>
      </c>
      <c r="H922" s="1168">
        <v>0</v>
      </c>
    </row>
    <row r="923" spans="1:8" ht="12.75">
      <c r="A923" s="1822" t="s">
        <v>2902</v>
      </c>
      <c r="B923" s="379" t="s">
        <v>2899</v>
      </c>
      <c r="C923" s="1823" t="s">
        <v>2176</v>
      </c>
      <c r="D923" s="379" t="s">
        <v>3422</v>
      </c>
      <c r="E923" s="1168">
        <v>872000</v>
      </c>
      <c r="F923" s="1168">
        <v>655000</v>
      </c>
      <c r="G923" s="1168">
        <v>654381</v>
      </c>
      <c r="H923" s="1168">
        <v>0</v>
      </c>
    </row>
    <row r="924" spans="1:8" ht="12.75">
      <c r="A924" s="1822" t="s">
        <v>2903</v>
      </c>
      <c r="B924" s="379" t="s">
        <v>2901</v>
      </c>
      <c r="C924" s="1823" t="s">
        <v>2176</v>
      </c>
      <c r="D924" s="379" t="s">
        <v>3422</v>
      </c>
      <c r="E924" s="1168">
        <v>508000</v>
      </c>
      <c r="F924" s="1168">
        <v>498000</v>
      </c>
      <c r="G924" s="1168">
        <v>497794.85</v>
      </c>
      <c r="H924" s="1168">
        <v>0</v>
      </c>
    </row>
    <row r="925" spans="1:8" ht="12.75">
      <c r="A925" s="1822" t="s">
        <v>2904</v>
      </c>
      <c r="B925" s="379" t="s">
        <v>2905</v>
      </c>
      <c r="C925" s="1823" t="s">
        <v>2176</v>
      </c>
      <c r="D925" s="379" t="s">
        <v>3422</v>
      </c>
      <c r="E925" s="1168">
        <v>220000</v>
      </c>
      <c r="F925" s="1168">
        <v>161000</v>
      </c>
      <c r="G925" s="1168">
        <v>160860</v>
      </c>
      <c r="H925" s="1168">
        <v>0</v>
      </c>
    </row>
    <row r="926" spans="1:8" ht="12.75">
      <c r="A926" s="1822" t="s">
        <v>2906</v>
      </c>
      <c r="B926" s="379" t="s">
        <v>2907</v>
      </c>
      <c r="C926" s="1823" t="s">
        <v>3436</v>
      </c>
      <c r="D926" s="379" t="s">
        <v>3422</v>
      </c>
      <c r="E926" s="1168">
        <v>3556000</v>
      </c>
      <c r="F926" s="1168">
        <v>4700000</v>
      </c>
      <c r="G926" s="1168">
        <v>0</v>
      </c>
      <c r="H926" s="1168">
        <v>4700000</v>
      </c>
    </row>
    <row r="927" spans="1:8" ht="12.75">
      <c r="A927" s="1822" t="s">
        <v>2908</v>
      </c>
      <c r="B927" s="379" t="s">
        <v>2909</v>
      </c>
      <c r="C927" s="1823" t="s">
        <v>3436</v>
      </c>
      <c r="D927" s="379" t="s">
        <v>3422</v>
      </c>
      <c r="E927" s="1168">
        <v>2960000</v>
      </c>
      <c r="F927" s="1168">
        <v>2604000</v>
      </c>
      <c r="G927" s="1168">
        <v>2603946.58</v>
      </c>
      <c r="H927" s="1168">
        <v>50</v>
      </c>
    </row>
    <row r="928" spans="1:8" ht="12.75">
      <c r="A928" s="1822">
        <v>2141134054</v>
      </c>
      <c r="B928" s="379" t="s">
        <v>2910</v>
      </c>
      <c r="C928" s="1823" t="s">
        <v>3190</v>
      </c>
      <c r="D928" s="379" t="s">
        <v>3422</v>
      </c>
      <c r="E928" s="1168">
        <v>340000</v>
      </c>
      <c r="F928" s="1168">
        <v>0</v>
      </c>
      <c r="G928" s="1168">
        <v>0</v>
      </c>
      <c r="H928" s="1168">
        <v>0</v>
      </c>
    </row>
    <row r="929" spans="1:8" ht="12.75">
      <c r="A929" s="1822" t="s">
        <v>2911</v>
      </c>
      <c r="B929" s="379" t="s">
        <v>2912</v>
      </c>
      <c r="C929" s="1823" t="s">
        <v>3436</v>
      </c>
      <c r="D929" s="379" t="s">
        <v>3422</v>
      </c>
      <c r="E929" s="1168">
        <v>800000</v>
      </c>
      <c r="F929" s="1168">
        <v>363000</v>
      </c>
      <c r="G929" s="1168">
        <v>362950</v>
      </c>
      <c r="H929" s="1168">
        <v>50</v>
      </c>
    </row>
    <row r="930" spans="1:8" ht="12.75">
      <c r="A930" s="1822" t="s">
        <v>2913</v>
      </c>
      <c r="B930" s="379" t="s">
        <v>2914</v>
      </c>
      <c r="C930" s="1823" t="s">
        <v>3436</v>
      </c>
      <c r="D930" s="379" t="s">
        <v>3422</v>
      </c>
      <c r="E930" s="1168">
        <v>500000</v>
      </c>
      <c r="F930" s="1168">
        <v>415000</v>
      </c>
      <c r="G930" s="1168">
        <v>414810</v>
      </c>
      <c r="H930" s="1168">
        <v>190</v>
      </c>
    </row>
    <row r="931" spans="1:8" ht="12.75">
      <c r="A931" s="1822" t="s">
        <v>2915</v>
      </c>
      <c r="B931" s="379" t="s">
        <v>2916</v>
      </c>
      <c r="C931" s="1823" t="s">
        <v>3436</v>
      </c>
      <c r="D931" s="379" t="s">
        <v>3422</v>
      </c>
      <c r="E931" s="1168">
        <v>1400000</v>
      </c>
      <c r="F931" s="1168">
        <v>762000</v>
      </c>
      <c r="G931" s="1168">
        <v>761438.1</v>
      </c>
      <c r="H931" s="1168">
        <v>560</v>
      </c>
    </row>
    <row r="932" spans="1:8" ht="12.75">
      <c r="A932" s="1822" t="s">
        <v>2917</v>
      </c>
      <c r="B932" s="379" t="s">
        <v>2918</v>
      </c>
      <c r="C932" s="1823" t="s">
        <v>3436</v>
      </c>
      <c r="D932" s="379" t="s">
        <v>3422</v>
      </c>
      <c r="E932" s="1168">
        <v>2190000</v>
      </c>
      <c r="F932" s="1168">
        <v>2282000</v>
      </c>
      <c r="G932" s="1168">
        <v>2281166.9</v>
      </c>
      <c r="H932" s="1168">
        <v>830</v>
      </c>
    </row>
    <row r="933" spans="1:8" ht="12.75">
      <c r="A933" s="1822" t="s">
        <v>2919</v>
      </c>
      <c r="B933" s="379" t="s">
        <v>2920</v>
      </c>
      <c r="C933" s="1823" t="s">
        <v>3436</v>
      </c>
      <c r="D933" s="379" t="s">
        <v>3422</v>
      </c>
      <c r="E933" s="1168">
        <v>12000000</v>
      </c>
      <c r="F933" s="1168">
        <v>10588000</v>
      </c>
      <c r="G933" s="1168">
        <v>10587418.1</v>
      </c>
      <c r="H933" s="1168">
        <v>580</v>
      </c>
    </row>
    <row r="934" spans="1:8" ht="12.75">
      <c r="A934" s="1822" t="s">
        <v>2921</v>
      </c>
      <c r="B934" s="379" t="s">
        <v>2922</v>
      </c>
      <c r="C934" s="1823" t="s">
        <v>3436</v>
      </c>
      <c r="D934" s="379" t="s">
        <v>3422</v>
      </c>
      <c r="E934" s="1168">
        <v>3000000</v>
      </c>
      <c r="F934" s="1168">
        <v>5478000</v>
      </c>
      <c r="G934" s="1168">
        <v>5477710</v>
      </c>
      <c r="H934" s="1168">
        <v>290</v>
      </c>
    </row>
    <row r="935" spans="1:8" ht="12.75">
      <c r="A935" s="1822">
        <v>2141134061</v>
      </c>
      <c r="B935" s="379" t="s">
        <v>2923</v>
      </c>
      <c r="C935" s="1823" t="s">
        <v>2235</v>
      </c>
      <c r="D935" s="379" t="s">
        <v>3422</v>
      </c>
      <c r="E935" s="1168">
        <v>300000</v>
      </c>
      <c r="F935" s="1168">
        <v>0</v>
      </c>
      <c r="G935" s="1168">
        <v>0</v>
      </c>
      <c r="H935" s="1168">
        <v>0</v>
      </c>
    </row>
    <row r="936" spans="1:8" ht="12.75">
      <c r="A936" s="1822">
        <v>2141134062</v>
      </c>
      <c r="B936" s="379" t="s">
        <v>2924</v>
      </c>
      <c r="C936" s="1823" t="s">
        <v>3436</v>
      </c>
      <c r="D936" s="379" t="s">
        <v>3422</v>
      </c>
      <c r="E936" s="1168">
        <v>3000000</v>
      </c>
      <c r="F936" s="1168">
        <v>0</v>
      </c>
      <c r="G936" s="1168">
        <v>0</v>
      </c>
      <c r="H936" s="1168">
        <v>0</v>
      </c>
    </row>
    <row r="937" spans="1:8" ht="12.75">
      <c r="A937" s="1822">
        <v>2141134063</v>
      </c>
      <c r="B937" s="379" t="s">
        <v>2925</v>
      </c>
      <c r="C937" s="1823" t="s">
        <v>3436</v>
      </c>
      <c r="D937" s="379" t="s">
        <v>3422</v>
      </c>
      <c r="E937" s="1168">
        <v>1650000</v>
      </c>
      <c r="F937" s="1168">
        <v>0</v>
      </c>
      <c r="G937" s="1168">
        <v>0</v>
      </c>
      <c r="H937" s="1168">
        <v>0</v>
      </c>
    </row>
    <row r="938" spans="1:8" ht="12.75">
      <c r="A938" s="1822" t="s">
        <v>2926</v>
      </c>
      <c r="B938" s="379" t="s">
        <v>2927</v>
      </c>
      <c r="C938" s="1823" t="s">
        <v>3190</v>
      </c>
      <c r="D938" s="379" t="s">
        <v>3422</v>
      </c>
      <c r="E938" s="1168">
        <v>1720000</v>
      </c>
      <c r="F938" s="1168">
        <v>1696000</v>
      </c>
      <c r="G938" s="1168">
        <v>1623508.4</v>
      </c>
      <c r="H938" s="1168">
        <v>72491</v>
      </c>
    </row>
    <row r="939" spans="1:8" ht="12.75">
      <c r="A939" s="1822" t="s">
        <v>2928</v>
      </c>
      <c r="B939" s="379" t="s">
        <v>2929</v>
      </c>
      <c r="C939" s="1823" t="s">
        <v>3190</v>
      </c>
      <c r="D939" s="379" t="s">
        <v>3422</v>
      </c>
      <c r="E939" s="1168">
        <v>11107000</v>
      </c>
      <c r="F939" s="1168">
        <v>11131000</v>
      </c>
      <c r="G939" s="1168">
        <v>11127003.8</v>
      </c>
      <c r="H939" s="1168">
        <v>3995</v>
      </c>
    </row>
    <row r="940" spans="1:8" ht="12.75">
      <c r="A940" s="1822" t="s">
        <v>2930</v>
      </c>
      <c r="B940" s="379" t="s">
        <v>2931</v>
      </c>
      <c r="C940" s="1823" t="s">
        <v>3190</v>
      </c>
      <c r="D940" s="379" t="s">
        <v>3423</v>
      </c>
      <c r="E940" s="1168">
        <v>650000</v>
      </c>
      <c r="F940" s="1168">
        <v>647000</v>
      </c>
      <c r="G940" s="1168">
        <v>646646</v>
      </c>
      <c r="H940" s="1168">
        <v>354</v>
      </c>
    </row>
    <row r="941" spans="1:8" ht="12.75">
      <c r="A941" s="1822">
        <v>2141134067</v>
      </c>
      <c r="B941" s="379" t="s">
        <v>2932</v>
      </c>
      <c r="C941" s="1823" t="s">
        <v>3190</v>
      </c>
      <c r="D941" s="379" t="s">
        <v>3422</v>
      </c>
      <c r="E941" s="1168">
        <v>510000</v>
      </c>
      <c r="F941" s="1168">
        <v>0</v>
      </c>
      <c r="G941" s="1168">
        <v>0</v>
      </c>
      <c r="H941" s="1168">
        <v>0</v>
      </c>
    </row>
    <row r="942" spans="1:8" ht="12.75">
      <c r="A942" s="1822">
        <v>2141134068</v>
      </c>
      <c r="B942" s="379" t="s">
        <v>2933</v>
      </c>
      <c r="C942" s="1823" t="s">
        <v>3190</v>
      </c>
      <c r="D942" s="379" t="s">
        <v>3422</v>
      </c>
      <c r="E942" s="1168">
        <v>320000</v>
      </c>
      <c r="F942" s="1168">
        <v>0</v>
      </c>
      <c r="G942" s="1168">
        <v>0</v>
      </c>
      <c r="H942" s="1168">
        <v>0</v>
      </c>
    </row>
    <row r="943" spans="1:8" ht="12.75">
      <c r="A943" s="1822">
        <v>2141134069</v>
      </c>
      <c r="B943" s="379" t="s">
        <v>2934</v>
      </c>
      <c r="C943" s="1823" t="s">
        <v>3190</v>
      </c>
      <c r="D943" s="379" t="s">
        <v>3422</v>
      </c>
      <c r="E943" s="1168">
        <v>380000</v>
      </c>
      <c r="F943" s="1168">
        <v>0</v>
      </c>
      <c r="G943" s="1168">
        <v>0</v>
      </c>
      <c r="H943" s="1168">
        <v>0</v>
      </c>
    </row>
    <row r="944" spans="1:8" ht="12.75">
      <c r="A944" s="1822" t="s">
        <v>2935</v>
      </c>
      <c r="B944" s="379" t="s">
        <v>2936</v>
      </c>
      <c r="C944" s="1823" t="s">
        <v>3190</v>
      </c>
      <c r="D944" s="379" t="s">
        <v>3422</v>
      </c>
      <c r="E944" s="1168">
        <v>113000</v>
      </c>
      <c r="F944" s="1168">
        <v>112000</v>
      </c>
      <c r="G944" s="1168">
        <v>111049.5</v>
      </c>
      <c r="H944" s="1168">
        <v>950</v>
      </c>
    </row>
    <row r="945" spans="1:8" ht="12.75">
      <c r="A945" s="1822" t="s">
        <v>2937</v>
      </c>
      <c r="B945" s="379" t="s">
        <v>2938</v>
      </c>
      <c r="C945" s="1823" t="s">
        <v>3190</v>
      </c>
      <c r="D945" s="379" t="s">
        <v>3422</v>
      </c>
      <c r="E945" s="1168">
        <v>430000</v>
      </c>
      <c r="F945" s="1168">
        <v>362000</v>
      </c>
      <c r="G945" s="1168">
        <v>361165</v>
      </c>
      <c r="H945" s="1168">
        <v>835</v>
      </c>
    </row>
    <row r="946" spans="1:8" ht="12.75">
      <c r="A946" s="1822" t="s">
        <v>2939</v>
      </c>
      <c r="B946" s="379" t="s">
        <v>2940</v>
      </c>
      <c r="C946" s="1823" t="s">
        <v>3436</v>
      </c>
      <c r="D946" s="379" t="s">
        <v>3422</v>
      </c>
      <c r="E946" s="1168">
        <v>3130000</v>
      </c>
      <c r="F946" s="1168">
        <v>2688000</v>
      </c>
      <c r="G946" s="1168">
        <v>2687189.94</v>
      </c>
      <c r="H946" s="1168">
        <v>800</v>
      </c>
    </row>
    <row r="947" spans="1:8" ht="12.75">
      <c r="A947" s="1822" t="s">
        <v>2941</v>
      </c>
      <c r="B947" s="379" t="s">
        <v>2942</v>
      </c>
      <c r="C947" s="1823" t="s">
        <v>3436</v>
      </c>
      <c r="D947" s="379" t="s">
        <v>3422</v>
      </c>
      <c r="E947" s="1168">
        <v>6259000</v>
      </c>
      <c r="F947" s="1168">
        <v>6259000</v>
      </c>
      <c r="G947" s="1168">
        <v>6198000</v>
      </c>
      <c r="H947" s="1168">
        <v>61000</v>
      </c>
    </row>
    <row r="948" spans="1:8" ht="12.75">
      <c r="A948" s="1822" t="s">
        <v>2943</v>
      </c>
      <c r="B948" s="379" t="s">
        <v>2832</v>
      </c>
      <c r="C948" s="1823" t="s">
        <v>3436</v>
      </c>
      <c r="D948" s="379" t="s">
        <v>3422</v>
      </c>
      <c r="E948" s="1168">
        <v>0</v>
      </c>
      <c r="F948" s="1168">
        <v>10000000</v>
      </c>
      <c r="G948" s="1168">
        <v>0</v>
      </c>
      <c r="H948" s="1168">
        <v>10000000</v>
      </c>
    </row>
    <row r="949" spans="1:8" ht="12.75">
      <c r="A949" s="1822" t="s">
        <v>2944</v>
      </c>
      <c r="B949" s="379" t="s">
        <v>2945</v>
      </c>
      <c r="C949" s="1823" t="s">
        <v>2455</v>
      </c>
      <c r="D949" s="379" t="s">
        <v>3422</v>
      </c>
      <c r="E949" s="1168">
        <v>0</v>
      </c>
      <c r="F949" s="1168">
        <v>0</v>
      </c>
      <c r="G949" s="1168">
        <v>373005.5</v>
      </c>
      <c r="H949" s="1168">
        <v>0</v>
      </c>
    </row>
    <row r="950" spans="1:8" ht="12.75">
      <c r="A950" s="1822" t="s">
        <v>2946</v>
      </c>
      <c r="B950" s="379" t="s">
        <v>2947</v>
      </c>
      <c r="C950" s="1823" t="s">
        <v>3436</v>
      </c>
      <c r="D950" s="379" t="s">
        <v>3422</v>
      </c>
      <c r="E950" s="1168">
        <v>0</v>
      </c>
      <c r="F950" s="1168">
        <v>24683000</v>
      </c>
      <c r="G950" s="1168">
        <v>24682990.76</v>
      </c>
      <c r="H950" s="1168">
        <v>0</v>
      </c>
    </row>
    <row r="951" spans="1:8" ht="12.75">
      <c r="A951" s="1822" t="s">
        <v>2948</v>
      </c>
      <c r="B951" s="379" t="s">
        <v>2949</v>
      </c>
      <c r="C951" s="1823" t="s">
        <v>3190</v>
      </c>
      <c r="D951" s="379" t="s">
        <v>3422</v>
      </c>
      <c r="E951" s="1168">
        <v>0</v>
      </c>
      <c r="F951" s="1168">
        <v>2872000</v>
      </c>
      <c r="G951" s="1168">
        <v>2871785</v>
      </c>
      <c r="H951" s="1168">
        <v>215</v>
      </c>
    </row>
    <row r="952" spans="1:8" ht="12.75">
      <c r="A952" s="1822" t="s">
        <v>2950</v>
      </c>
      <c r="B952" s="379" t="s">
        <v>2951</v>
      </c>
      <c r="C952" s="1823" t="s">
        <v>3436</v>
      </c>
      <c r="D952" s="379" t="s">
        <v>3422</v>
      </c>
      <c r="E952" s="1168">
        <v>0</v>
      </c>
      <c r="F952" s="1168">
        <v>2091000</v>
      </c>
      <c r="G952" s="1168">
        <v>2090598</v>
      </c>
      <c r="H952" s="1168">
        <v>400</v>
      </c>
    </row>
    <row r="953" spans="1:8" ht="12.75">
      <c r="A953" s="1822" t="s">
        <v>2952</v>
      </c>
      <c r="B953" s="379" t="s">
        <v>2953</v>
      </c>
      <c r="C953" s="1823" t="s">
        <v>3436</v>
      </c>
      <c r="D953" s="379" t="s">
        <v>3422</v>
      </c>
      <c r="E953" s="1168">
        <v>0</v>
      </c>
      <c r="F953" s="1168">
        <v>3354000</v>
      </c>
      <c r="G953" s="1168">
        <v>3353420</v>
      </c>
      <c r="H953" s="1168">
        <v>580</v>
      </c>
    </row>
    <row r="954" spans="1:8" ht="12.75">
      <c r="A954" s="1822" t="s">
        <v>2954</v>
      </c>
      <c r="B954" s="379" t="s">
        <v>2955</v>
      </c>
      <c r="C954" s="1823" t="s">
        <v>3436</v>
      </c>
      <c r="D954" s="379" t="s">
        <v>3422</v>
      </c>
      <c r="E954" s="1168">
        <v>0</v>
      </c>
      <c r="F954" s="1168">
        <v>117000</v>
      </c>
      <c r="G954" s="1168">
        <v>116382</v>
      </c>
      <c r="H954" s="1168">
        <v>610</v>
      </c>
    </row>
    <row r="955" spans="1:8" ht="12.75">
      <c r="A955" s="1822" t="s">
        <v>2956</v>
      </c>
      <c r="B955" s="379" t="s">
        <v>2957</v>
      </c>
      <c r="C955" s="1823" t="s">
        <v>3436</v>
      </c>
      <c r="D955" s="379" t="s">
        <v>3422</v>
      </c>
      <c r="E955" s="1168">
        <v>0</v>
      </c>
      <c r="F955" s="1168">
        <v>3671000</v>
      </c>
      <c r="G955" s="1168">
        <v>0</v>
      </c>
      <c r="H955" s="1168">
        <v>3671000</v>
      </c>
    </row>
    <row r="956" spans="1:8" ht="12.75">
      <c r="A956" s="1822" t="s">
        <v>2958</v>
      </c>
      <c r="B956" s="379" t="s">
        <v>2959</v>
      </c>
      <c r="C956" s="1823" t="s">
        <v>3436</v>
      </c>
      <c r="D956" s="379" t="s">
        <v>3422</v>
      </c>
      <c r="E956" s="1168">
        <v>0</v>
      </c>
      <c r="F956" s="1168">
        <v>1614000</v>
      </c>
      <c r="G956" s="1168">
        <v>1613933.01</v>
      </c>
      <c r="H956" s="1168">
        <v>60</v>
      </c>
    </row>
    <row r="957" spans="1:8" ht="12.75">
      <c r="A957" s="1822" t="s">
        <v>2960</v>
      </c>
      <c r="B957" s="379" t="s">
        <v>2961</v>
      </c>
      <c r="C957" s="1823" t="s">
        <v>3436</v>
      </c>
      <c r="D957" s="379" t="s">
        <v>3422</v>
      </c>
      <c r="E957" s="1168">
        <v>0</v>
      </c>
      <c r="F957" s="1168">
        <v>3541000</v>
      </c>
      <c r="G957" s="1168">
        <v>0</v>
      </c>
      <c r="H957" s="1168">
        <v>3541000</v>
      </c>
    </row>
    <row r="958" spans="1:8" ht="12.75">
      <c r="A958" s="1822" t="s">
        <v>2962</v>
      </c>
      <c r="B958" s="379" t="s">
        <v>2963</v>
      </c>
      <c r="C958" s="1823" t="s">
        <v>3436</v>
      </c>
      <c r="D958" s="379" t="s">
        <v>3422</v>
      </c>
      <c r="E958" s="1168">
        <v>0</v>
      </c>
      <c r="F958" s="1168">
        <v>8894000</v>
      </c>
      <c r="G958" s="1168">
        <v>8893470.04</v>
      </c>
      <c r="H958" s="1168">
        <v>520</v>
      </c>
    </row>
    <row r="959" spans="1:8" ht="12.75">
      <c r="A959" s="1822" t="s">
        <v>2964</v>
      </c>
      <c r="B959" s="379" t="s">
        <v>2965</v>
      </c>
      <c r="C959" s="1823" t="s">
        <v>3436</v>
      </c>
      <c r="D959" s="379" t="s">
        <v>3422</v>
      </c>
      <c r="E959" s="1168">
        <v>0</v>
      </c>
      <c r="F959" s="1168">
        <v>3242000</v>
      </c>
      <c r="G959" s="1168">
        <v>3241798</v>
      </c>
      <c r="H959" s="1168">
        <v>200</v>
      </c>
    </row>
    <row r="960" spans="1:8" ht="12.75">
      <c r="A960" s="1822" t="s">
        <v>2966</v>
      </c>
      <c r="B960" s="379" t="s">
        <v>2967</v>
      </c>
      <c r="C960" s="1823" t="s">
        <v>3436</v>
      </c>
      <c r="D960" s="379" t="s">
        <v>3422</v>
      </c>
      <c r="E960" s="1168">
        <v>0</v>
      </c>
      <c r="F960" s="1168">
        <v>12763000</v>
      </c>
      <c r="G960" s="1168">
        <v>12762365.45</v>
      </c>
      <c r="H960" s="1168">
        <v>630</v>
      </c>
    </row>
    <row r="961" spans="1:8" ht="12.75">
      <c r="A961" s="1822" t="s">
        <v>2968</v>
      </c>
      <c r="B961" s="379" t="s">
        <v>2969</v>
      </c>
      <c r="C961" s="1823" t="s">
        <v>3436</v>
      </c>
      <c r="D961" s="379" t="s">
        <v>3422</v>
      </c>
      <c r="E961" s="1168">
        <v>0</v>
      </c>
      <c r="F961" s="1168">
        <v>924000</v>
      </c>
      <c r="G961" s="1168">
        <v>923415</v>
      </c>
      <c r="H961" s="1168">
        <v>580</v>
      </c>
    </row>
    <row r="962" spans="1:8" ht="12.75">
      <c r="A962" s="1822" t="s">
        <v>2970</v>
      </c>
      <c r="B962" s="379" t="s">
        <v>2971</v>
      </c>
      <c r="C962" s="1823" t="s">
        <v>3436</v>
      </c>
      <c r="D962" s="379" t="s">
        <v>3422</v>
      </c>
      <c r="E962" s="1168">
        <v>0</v>
      </c>
      <c r="F962" s="1168">
        <v>1839000</v>
      </c>
      <c r="G962" s="1168">
        <v>1838575.52</v>
      </c>
      <c r="H962" s="1168">
        <v>420</v>
      </c>
    </row>
    <row r="963" spans="1:8" ht="12.75">
      <c r="A963" s="1822" t="s">
        <v>2972</v>
      </c>
      <c r="B963" s="379" t="s">
        <v>2973</v>
      </c>
      <c r="C963" s="1823" t="s">
        <v>3436</v>
      </c>
      <c r="D963" s="379" t="s">
        <v>3422</v>
      </c>
      <c r="E963" s="1168">
        <v>0</v>
      </c>
      <c r="F963" s="1168">
        <v>12718000</v>
      </c>
      <c r="G963" s="1168">
        <v>12717097.37</v>
      </c>
      <c r="H963" s="1168">
        <v>900</v>
      </c>
    </row>
    <row r="964" spans="1:8" ht="12.75">
      <c r="A964" s="1822" t="s">
        <v>2974</v>
      </c>
      <c r="B964" s="379" t="s">
        <v>2975</v>
      </c>
      <c r="C964" s="1823" t="s">
        <v>3436</v>
      </c>
      <c r="D964" s="379" t="s">
        <v>3422</v>
      </c>
      <c r="E964" s="1168">
        <v>0</v>
      </c>
      <c r="F964" s="1168">
        <v>1104000</v>
      </c>
      <c r="G964" s="1168">
        <v>1103134</v>
      </c>
      <c r="H964" s="1168">
        <v>860</v>
      </c>
    </row>
    <row r="965" spans="1:8" ht="12.75">
      <c r="A965" s="1822" t="s">
        <v>2976</v>
      </c>
      <c r="B965" s="379" t="s">
        <v>2977</v>
      </c>
      <c r="C965" s="1823" t="s">
        <v>3436</v>
      </c>
      <c r="D965" s="379" t="s">
        <v>3422</v>
      </c>
      <c r="E965" s="1168">
        <v>0</v>
      </c>
      <c r="F965" s="1168">
        <v>2629000</v>
      </c>
      <c r="G965" s="1168">
        <v>2628794.9</v>
      </c>
      <c r="H965" s="1168">
        <v>200</v>
      </c>
    </row>
    <row r="966" spans="1:8" ht="12.75">
      <c r="A966" s="1822" t="s">
        <v>2978</v>
      </c>
      <c r="B966" s="379" t="s">
        <v>2979</v>
      </c>
      <c r="C966" s="1823" t="s">
        <v>3190</v>
      </c>
      <c r="D966" s="379" t="s">
        <v>3422</v>
      </c>
      <c r="E966" s="1168">
        <v>0</v>
      </c>
      <c r="F966" s="1168">
        <v>283000</v>
      </c>
      <c r="G966" s="1168">
        <v>282993.9</v>
      </c>
      <c r="H966" s="1168">
        <v>6</v>
      </c>
    </row>
    <row r="967" spans="1:8" ht="12.75">
      <c r="A967" s="1822" t="s">
        <v>2980</v>
      </c>
      <c r="B967" s="379" t="s">
        <v>2981</v>
      </c>
      <c r="C967" s="1823" t="s">
        <v>3190</v>
      </c>
      <c r="D967" s="379" t="s">
        <v>3422</v>
      </c>
      <c r="E967" s="1168">
        <v>0</v>
      </c>
      <c r="F967" s="1168">
        <v>100000</v>
      </c>
      <c r="G967" s="1168">
        <v>99591</v>
      </c>
      <c r="H967" s="1168">
        <v>409</v>
      </c>
    </row>
    <row r="968" spans="1:8" ht="12.75">
      <c r="A968" s="1822" t="s">
        <v>2982</v>
      </c>
      <c r="B968" s="379" t="s">
        <v>2983</v>
      </c>
      <c r="C968" s="1823" t="s">
        <v>3190</v>
      </c>
      <c r="D968" s="379" t="s">
        <v>3422</v>
      </c>
      <c r="E968" s="1168">
        <v>0</v>
      </c>
      <c r="F968" s="1168">
        <v>640000</v>
      </c>
      <c r="G968" s="1168">
        <v>640000</v>
      </c>
      <c r="H968" s="1168">
        <v>0</v>
      </c>
    </row>
    <row r="969" spans="1:8" ht="12.75">
      <c r="A969" s="1822" t="s">
        <v>2984</v>
      </c>
      <c r="B969" s="379" t="s">
        <v>2985</v>
      </c>
      <c r="C969" s="1823" t="s">
        <v>3190</v>
      </c>
      <c r="D969" s="379" t="s">
        <v>3422</v>
      </c>
      <c r="E969" s="1168">
        <v>0</v>
      </c>
      <c r="F969" s="1168">
        <v>500000</v>
      </c>
      <c r="G969" s="1168">
        <v>499919</v>
      </c>
      <c r="H969" s="1168">
        <v>81</v>
      </c>
    </row>
    <row r="970" spans="1:8" ht="12.75">
      <c r="A970" s="1822" t="s">
        <v>2986</v>
      </c>
      <c r="B970" s="379" t="s">
        <v>2987</v>
      </c>
      <c r="C970" s="1823" t="s">
        <v>3190</v>
      </c>
      <c r="D970" s="379" t="s">
        <v>3422</v>
      </c>
      <c r="E970" s="1168">
        <v>0</v>
      </c>
      <c r="F970" s="1168">
        <v>212000</v>
      </c>
      <c r="G970" s="1168">
        <v>211397.6</v>
      </c>
      <c r="H970" s="1168">
        <v>602</v>
      </c>
    </row>
    <row r="971" spans="1:8" ht="12.75">
      <c r="A971" s="1822" t="s">
        <v>2988</v>
      </c>
      <c r="B971" s="379" t="s">
        <v>2989</v>
      </c>
      <c r="C971" s="1823" t="s">
        <v>2235</v>
      </c>
      <c r="D971" s="379" t="s">
        <v>3422</v>
      </c>
      <c r="E971" s="1168">
        <v>0</v>
      </c>
      <c r="F971" s="1168">
        <v>96000</v>
      </c>
      <c r="G971" s="1168">
        <v>95081</v>
      </c>
      <c r="H971" s="1168">
        <v>919</v>
      </c>
    </row>
    <row r="972" spans="1:8" ht="12.75">
      <c r="A972" s="1822" t="s">
        <v>2990</v>
      </c>
      <c r="B972" s="379" t="s">
        <v>2991</v>
      </c>
      <c r="C972" s="1823" t="s">
        <v>2235</v>
      </c>
      <c r="D972" s="379" t="s">
        <v>3422</v>
      </c>
      <c r="E972" s="1168">
        <v>0</v>
      </c>
      <c r="F972" s="1168">
        <v>56000</v>
      </c>
      <c r="G972" s="1168">
        <v>55121</v>
      </c>
      <c r="H972" s="1168">
        <v>879</v>
      </c>
    </row>
    <row r="973" spans="1:8" ht="12.75">
      <c r="A973" s="1822" t="s">
        <v>2992</v>
      </c>
      <c r="B973" s="379" t="s">
        <v>2868</v>
      </c>
      <c r="C973" s="1823" t="s">
        <v>2235</v>
      </c>
      <c r="D973" s="379" t="s">
        <v>3422</v>
      </c>
      <c r="E973" s="1168">
        <v>0</v>
      </c>
      <c r="F973" s="1168">
        <v>170000</v>
      </c>
      <c r="G973" s="1168">
        <v>169767</v>
      </c>
      <c r="H973" s="1168">
        <v>233</v>
      </c>
    </row>
    <row r="974" spans="1:8" ht="12.75">
      <c r="A974" s="1822" t="s">
        <v>2993</v>
      </c>
      <c r="B974" s="379" t="s">
        <v>2994</v>
      </c>
      <c r="C974" s="1823" t="s">
        <v>2235</v>
      </c>
      <c r="D974" s="379" t="s">
        <v>3422</v>
      </c>
      <c r="E974" s="1168">
        <v>0</v>
      </c>
      <c r="F974" s="1168">
        <v>587000</v>
      </c>
      <c r="G974" s="1168">
        <v>586565.5</v>
      </c>
      <c r="H974" s="1168">
        <v>434</v>
      </c>
    </row>
    <row r="975" spans="1:8" ht="12.75">
      <c r="A975" s="1822" t="s">
        <v>2995</v>
      </c>
      <c r="B975" s="379" t="s">
        <v>2996</v>
      </c>
      <c r="C975" s="1823" t="s">
        <v>2235</v>
      </c>
      <c r="D975" s="379" t="s">
        <v>3422</v>
      </c>
      <c r="E975" s="1168">
        <v>0</v>
      </c>
      <c r="F975" s="1168">
        <v>145000</v>
      </c>
      <c r="G975" s="1168">
        <v>144204</v>
      </c>
      <c r="H975" s="1168">
        <v>796</v>
      </c>
    </row>
    <row r="976" spans="1:8" ht="12.75">
      <c r="A976" s="1822" t="s">
        <v>2997</v>
      </c>
      <c r="B976" s="379" t="s">
        <v>2998</v>
      </c>
      <c r="C976" s="1823" t="s">
        <v>2235</v>
      </c>
      <c r="D976" s="379" t="s">
        <v>3422</v>
      </c>
      <c r="E976" s="1168">
        <v>0</v>
      </c>
      <c r="F976" s="1168">
        <v>955000</v>
      </c>
      <c r="G976" s="1168">
        <v>954289.6</v>
      </c>
      <c r="H976" s="1168">
        <v>710</v>
      </c>
    </row>
    <row r="977" spans="1:8" ht="12.75">
      <c r="A977" s="1822" t="s">
        <v>2999</v>
      </c>
      <c r="B977" s="379" t="s">
        <v>3000</v>
      </c>
      <c r="C977" s="1823" t="s">
        <v>2532</v>
      </c>
      <c r="D977" s="379" t="s">
        <v>3422</v>
      </c>
      <c r="E977" s="1168">
        <v>0</v>
      </c>
      <c r="F977" s="1168">
        <v>1493000</v>
      </c>
      <c r="G977" s="1168">
        <v>1492549</v>
      </c>
      <c r="H977" s="1168">
        <v>0</v>
      </c>
    </row>
    <row r="978" spans="1:8" ht="12.75">
      <c r="A978" s="1822" t="s">
        <v>3001</v>
      </c>
      <c r="B978" s="379" t="s">
        <v>3002</v>
      </c>
      <c r="C978" s="1823" t="s">
        <v>2532</v>
      </c>
      <c r="D978" s="379" t="s">
        <v>3422</v>
      </c>
      <c r="E978" s="1168">
        <v>0</v>
      </c>
      <c r="F978" s="1168">
        <v>303000</v>
      </c>
      <c r="G978" s="1168">
        <v>302415</v>
      </c>
      <c r="H978" s="1168">
        <v>0</v>
      </c>
    </row>
    <row r="979" spans="1:8" ht="12.75">
      <c r="A979" s="1822" t="s">
        <v>3003</v>
      </c>
      <c r="B979" s="379" t="s">
        <v>3004</v>
      </c>
      <c r="C979" s="1823" t="s">
        <v>2561</v>
      </c>
      <c r="D979" s="379" t="s">
        <v>3422</v>
      </c>
      <c r="E979" s="1168">
        <v>0</v>
      </c>
      <c r="F979" s="1168">
        <v>479000</v>
      </c>
      <c r="G979" s="1168">
        <v>478807</v>
      </c>
      <c r="H979" s="1168">
        <v>193</v>
      </c>
    </row>
    <row r="980" spans="1:8" ht="12.75">
      <c r="A980" s="1822" t="s">
        <v>3005</v>
      </c>
      <c r="B980" s="379" t="s">
        <v>3006</v>
      </c>
      <c r="C980" s="1823" t="s">
        <v>2561</v>
      </c>
      <c r="D980" s="379" t="s">
        <v>3422</v>
      </c>
      <c r="E980" s="1168">
        <v>0</v>
      </c>
      <c r="F980" s="1168">
        <v>163000</v>
      </c>
      <c r="G980" s="1168">
        <v>162015</v>
      </c>
      <c r="H980" s="1168">
        <v>985</v>
      </c>
    </row>
    <row r="981" spans="1:8" ht="12.75">
      <c r="A981" s="1822" t="s">
        <v>3007</v>
      </c>
      <c r="B981" s="379" t="s">
        <v>3008</v>
      </c>
      <c r="C981" s="1823" t="s">
        <v>2561</v>
      </c>
      <c r="D981" s="379" t="s">
        <v>3422</v>
      </c>
      <c r="E981" s="1168">
        <v>0</v>
      </c>
      <c r="F981" s="1168">
        <v>396000</v>
      </c>
      <c r="G981" s="1168">
        <v>395794</v>
      </c>
      <c r="H981" s="1168">
        <v>206</v>
      </c>
    </row>
    <row r="982" spans="1:8" ht="12.75">
      <c r="A982" s="1822" t="s">
        <v>3009</v>
      </c>
      <c r="B982" s="379" t="s">
        <v>3010</v>
      </c>
      <c r="C982" s="1823" t="s">
        <v>2561</v>
      </c>
      <c r="D982" s="379" t="s">
        <v>3422</v>
      </c>
      <c r="E982" s="1168">
        <v>0</v>
      </c>
      <c r="F982" s="1168">
        <v>440000</v>
      </c>
      <c r="G982" s="1168">
        <v>439930</v>
      </c>
      <c r="H982" s="1168">
        <v>70</v>
      </c>
    </row>
    <row r="983" spans="1:8" ht="12.75">
      <c r="A983" s="1822" t="s">
        <v>3011</v>
      </c>
      <c r="B983" s="379" t="s">
        <v>3012</v>
      </c>
      <c r="C983" s="1823" t="s">
        <v>2561</v>
      </c>
      <c r="D983" s="379" t="s">
        <v>3422</v>
      </c>
      <c r="E983" s="1168">
        <v>0</v>
      </c>
      <c r="F983" s="1168">
        <v>138000</v>
      </c>
      <c r="G983" s="1168">
        <v>137950</v>
      </c>
      <c r="H983" s="1168">
        <v>50</v>
      </c>
    </row>
    <row r="984" spans="1:8" ht="12.75">
      <c r="A984" s="1822" t="s">
        <v>3013</v>
      </c>
      <c r="B984" s="379" t="s">
        <v>3014</v>
      </c>
      <c r="C984" s="1823" t="s">
        <v>2561</v>
      </c>
      <c r="D984" s="379" t="s">
        <v>3422</v>
      </c>
      <c r="E984" s="1168">
        <v>0</v>
      </c>
      <c r="F984" s="1168">
        <v>72000</v>
      </c>
      <c r="G984" s="1168">
        <v>71281</v>
      </c>
      <c r="H984" s="1168">
        <v>719</v>
      </c>
    </row>
    <row r="985" spans="1:8" ht="12.75">
      <c r="A985" s="1822" t="s">
        <v>3015</v>
      </c>
      <c r="B985" s="379" t="s">
        <v>3016</v>
      </c>
      <c r="C985" s="1823" t="s">
        <v>2561</v>
      </c>
      <c r="D985" s="379" t="s">
        <v>3422</v>
      </c>
      <c r="E985" s="1168">
        <v>0</v>
      </c>
      <c r="F985" s="1168">
        <v>588000</v>
      </c>
      <c r="G985" s="1168">
        <v>587969</v>
      </c>
      <c r="H985" s="1168">
        <v>31</v>
      </c>
    </row>
    <row r="986" spans="1:8" ht="12.75">
      <c r="A986" s="1822" t="s">
        <v>3017</v>
      </c>
      <c r="B986" s="379" t="s">
        <v>3018</v>
      </c>
      <c r="C986" s="1823" t="s">
        <v>2561</v>
      </c>
      <c r="D986" s="379" t="s">
        <v>3422</v>
      </c>
      <c r="E986" s="1168">
        <v>0</v>
      </c>
      <c r="F986" s="1168">
        <v>298000</v>
      </c>
      <c r="G986" s="1168">
        <v>297262</v>
      </c>
      <c r="H986" s="1168">
        <v>738</v>
      </c>
    </row>
    <row r="987" spans="1:8" ht="12.75">
      <c r="A987" s="1822" t="s">
        <v>3019</v>
      </c>
      <c r="B987" s="379" t="s">
        <v>2868</v>
      </c>
      <c r="C987" s="1823" t="s">
        <v>2561</v>
      </c>
      <c r="D987" s="379" t="s">
        <v>3422</v>
      </c>
      <c r="E987" s="1168">
        <v>0</v>
      </c>
      <c r="F987" s="1168">
        <v>251000</v>
      </c>
      <c r="G987" s="1168">
        <v>250230</v>
      </c>
      <c r="H987" s="1168">
        <v>770</v>
      </c>
    </row>
    <row r="988" spans="1:8" ht="12.75">
      <c r="A988" s="1822" t="s">
        <v>3020</v>
      </c>
      <c r="B988" s="379" t="s">
        <v>3021</v>
      </c>
      <c r="C988" s="1823" t="s">
        <v>2541</v>
      </c>
      <c r="D988" s="379" t="s">
        <v>3422</v>
      </c>
      <c r="E988" s="1168">
        <v>0</v>
      </c>
      <c r="F988" s="1168">
        <v>110000</v>
      </c>
      <c r="G988" s="1168">
        <v>109587</v>
      </c>
      <c r="H988" s="1168">
        <v>413</v>
      </c>
    </row>
    <row r="989" spans="1:8" ht="12.75">
      <c r="A989" s="1822" t="s">
        <v>3022</v>
      </c>
      <c r="B989" s="379" t="s">
        <v>2868</v>
      </c>
      <c r="C989" s="1823" t="s">
        <v>2541</v>
      </c>
      <c r="D989" s="379" t="s">
        <v>3422</v>
      </c>
      <c r="E989" s="1168">
        <v>0</v>
      </c>
      <c r="F989" s="1168">
        <v>169000</v>
      </c>
      <c r="G989" s="1168">
        <v>168625</v>
      </c>
      <c r="H989" s="1168">
        <v>375</v>
      </c>
    </row>
    <row r="990" spans="1:8" ht="12.75">
      <c r="A990" s="1822" t="s">
        <v>3023</v>
      </c>
      <c r="B990" s="379" t="s">
        <v>3024</v>
      </c>
      <c r="C990" s="1823" t="s">
        <v>2541</v>
      </c>
      <c r="D990" s="379" t="s">
        <v>3422</v>
      </c>
      <c r="E990" s="1168">
        <v>0</v>
      </c>
      <c r="F990" s="1168">
        <v>274000</v>
      </c>
      <c r="G990" s="1168">
        <v>273696</v>
      </c>
      <c r="H990" s="1168">
        <v>304</v>
      </c>
    </row>
    <row r="991" spans="1:8" ht="12.75">
      <c r="A991" s="1822" t="s">
        <v>3025</v>
      </c>
      <c r="B991" s="379" t="s">
        <v>2868</v>
      </c>
      <c r="C991" s="1823" t="s">
        <v>2176</v>
      </c>
      <c r="D991" s="379" t="s">
        <v>3422</v>
      </c>
      <c r="E991" s="1168">
        <v>0</v>
      </c>
      <c r="F991" s="1168">
        <v>184000</v>
      </c>
      <c r="G991" s="1168">
        <v>183954</v>
      </c>
      <c r="H991" s="1168">
        <v>0</v>
      </c>
    </row>
    <row r="992" spans="1:8" ht="12.75">
      <c r="A992" s="1822" t="s">
        <v>3026</v>
      </c>
      <c r="B992" s="379" t="s">
        <v>3027</v>
      </c>
      <c r="C992" s="1823" t="s">
        <v>2193</v>
      </c>
      <c r="D992" s="379" t="s">
        <v>3422</v>
      </c>
      <c r="E992" s="1168">
        <v>0</v>
      </c>
      <c r="F992" s="1168">
        <v>290000</v>
      </c>
      <c r="G992" s="1168">
        <v>289680</v>
      </c>
      <c r="H992" s="1168">
        <v>300</v>
      </c>
    </row>
    <row r="993" spans="1:8" ht="12.75">
      <c r="A993" s="1822" t="s">
        <v>3028</v>
      </c>
      <c r="B993" s="379" t="s">
        <v>2868</v>
      </c>
      <c r="C993" s="1823" t="s">
        <v>2193</v>
      </c>
      <c r="D993" s="379" t="s">
        <v>3422</v>
      </c>
      <c r="E993" s="1168">
        <v>0</v>
      </c>
      <c r="F993" s="1168">
        <v>170000</v>
      </c>
      <c r="G993" s="1168">
        <v>169767</v>
      </c>
      <c r="H993" s="1168">
        <v>200</v>
      </c>
    </row>
    <row r="994" spans="1:8" ht="12.75">
      <c r="A994" s="1822" t="s">
        <v>3029</v>
      </c>
      <c r="B994" s="379" t="s">
        <v>2868</v>
      </c>
      <c r="C994" s="1823" t="s">
        <v>2184</v>
      </c>
      <c r="D994" s="379" t="s">
        <v>3422</v>
      </c>
      <c r="E994" s="1168">
        <v>0</v>
      </c>
      <c r="F994" s="1168">
        <v>170000</v>
      </c>
      <c r="G994" s="1168">
        <v>169767</v>
      </c>
      <c r="H994" s="1168">
        <v>233</v>
      </c>
    </row>
    <row r="995" spans="1:8" ht="12.75">
      <c r="A995" s="1822" t="s">
        <v>3030</v>
      </c>
      <c r="B995" s="379" t="s">
        <v>3031</v>
      </c>
      <c r="C995" s="1823" t="s">
        <v>3436</v>
      </c>
      <c r="D995" s="379" t="s">
        <v>3422</v>
      </c>
      <c r="E995" s="1168">
        <v>0</v>
      </c>
      <c r="F995" s="1168">
        <v>892000</v>
      </c>
      <c r="G995" s="1168">
        <v>891345</v>
      </c>
      <c r="H995" s="1168">
        <v>650</v>
      </c>
    </row>
    <row r="996" spans="1:8" ht="12.75">
      <c r="A996" s="1822" t="s">
        <v>3032</v>
      </c>
      <c r="B996" s="379" t="s">
        <v>3033</v>
      </c>
      <c r="C996" s="1823" t="s">
        <v>3436</v>
      </c>
      <c r="D996" s="379" t="s">
        <v>3422</v>
      </c>
      <c r="E996" s="1168">
        <v>0</v>
      </c>
      <c r="F996" s="1168">
        <v>1447000</v>
      </c>
      <c r="G996" s="1168">
        <v>1446915.2</v>
      </c>
      <c r="H996" s="1168">
        <v>80</v>
      </c>
    </row>
    <row r="997" spans="1:8" ht="12.75">
      <c r="A997" s="1822" t="s">
        <v>3034</v>
      </c>
      <c r="B997" s="379" t="s">
        <v>3035</v>
      </c>
      <c r="C997" s="1823" t="s">
        <v>3436</v>
      </c>
      <c r="D997" s="379" t="s">
        <v>3422</v>
      </c>
      <c r="E997" s="1168">
        <v>0</v>
      </c>
      <c r="F997" s="1168">
        <v>646000</v>
      </c>
      <c r="G997" s="1168">
        <v>645150</v>
      </c>
      <c r="H997" s="1168">
        <v>850</v>
      </c>
    </row>
    <row r="998" spans="1:8" ht="12.75">
      <c r="A998" s="1822" t="s">
        <v>3036</v>
      </c>
      <c r="B998" s="379" t="s">
        <v>3037</v>
      </c>
      <c r="C998" s="1823" t="s">
        <v>3436</v>
      </c>
      <c r="D998" s="379" t="s">
        <v>3422</v>
      </c>
      <c r="E998" s="1168">
        <v>0</v>
      </c>
      <c r="F998" s="1168">
        <v>300000</v>
      </c>
      <c r="G998" s="1168">
        <v>299410</v>
      </c>
      <c r="H998" s="1168">
        <v>590</v>
      </c>
    </row>
    <row r="999" spans="1:8" ht="12.75">
      <c r="A999" s="1822" t="s">
        <v>3038</v>
      </c>
      <c r="B999" s="379" t="s">
        <v>3039</v>
      </c>
      <c r="C999" s="1823" t="s">
        <v>3436</v>
      </c>
      <c r="D999" s="379" t="s">
        <v>3422</v>
      </c>
      <c r="E999" s="1168">
        <v>0</v>
      </c>
      <c r="F999" s="1168">
        <v>775000</v>
      </c>
      <c r="G999" s="1168">
        <v>774100</v>
      </c>
      <c r="H999" s="1168">
        <v>900</v>
      </c>
    </row>
    <row r="1000" spans="1:8" ht="12.75">
      <c r="A1000" s="1822" t="s">
        <v>3040</v>
      </c>
      <c r="B1000" s="379" t="s">
        <v>3041</v>
      </c>
      <c r="C1000" s="1823" t="s">
        <v>3436</v>
      </c>
      <c r="D1000" s="379" t="s">
        <v>3422</v>
      </c>
      <c r="E1000" s="1168">
        <v>0</v>
      </c>
      <c r="F1000" s="1168">
        <v>120000</v>
      </c>
      <c r="G1000" s="1168">
        <v>119245.1</v>
      </c>
      <c r="H1000" s="1168">
        <v>750</v>
      </c>
    </row>
    <row r="1001" spans="1:8" ht="12.75">
      <c r="A1001" s="1822" t="s">
        <v>3042</v>
      </c>
      <c r="B1001" s="379" t="s">
        <v>3043</v>
      </c>
      <c r="C1001" s="1823" t="s">
        <v>3190</v>
      </c>
      <c r="D1001" s="379" t="s">
        <v>3422</v>
      </c>
      <c r="E1001" s="1168">
        <v>0</v>
      </c>
      <c r="F1001" s="1168">
        <v>572000</v>
      </c>
      <c r="G1001" s="1168">
        <v>571200</v>
      </c>
      <c r="H1001" s="1168">
        <v>800</v>
      </c>
    </row>
    <row r="1002" spans="1:8" ht="12.75">
      <c r="A1002" s="1822" t="s">
        <v>3044</v>
      </c>
      <c r="B1002" s="379" t="s">
        <v>3045</v>
      </c>
      <c r="C1002" s="1823" t="s">
        <v>717</v>
      </c>
      <c r="D1002" s="379" t="s">
        <v>3422</v>
      </c>
      <c r="E1002" s="1168">
        <v>0</v>
      </c>
      <c r="F1002" s="1168">
        <v>0</v>
      </c>
      <c r="G1002" s="1168">
        <v>135100</v>
      </c>
      <c r="H1002" s="1168">
        <v>0</v>
      </c>
    </row>
    <row r="1003" spans="1:8" ht="12.75">
      <c r="A1003" s="1822" t="s">
        <v>3046</v>
      </c>
      <c r="B1003" s="379" t="s">
        <v>3047</v>
      </c>
      <c r="C1003" s="1823" t="s">
        <v>3436</v>
      </c>
      <c r="D1003" s="379" t="s">
        <v>3422</v>
      </c>
      <c r="E1003" s="1168">
        <v>0</v>
      </c>
      <c r="F1003" s="1168">
        <v>626000</v>
      </c>
      <c r="G1003" s="1168">
        <v>0</v>
      </c>
      <c r="H1003" s="1168">
        <v>626000</v>
      </c>
    </row>
    <row r="1004" spans="1:8" ht="12.75">
      <c r="A1004" s="1822" t="s">
        <v>3048</v>
      </c>
      <c r="B1004" s="379" t="s">
        <v>3049</v>
      </c>
      <c r="C1004" s="1823" t="s">
        <v>3436</v>
      </c>
      <c r="D1004" s="379" t="s">
        <v>3422</v>
      </c>
      <c r="E1004" s="1168">
        <v>0</v>
      </c>
      <c r="F1004" s="1168">
        <v>24998000</v>
      </c>
      <c r="G1004" s="1168">
        <v>24997140</v>
      </c>
      <c r="H1004" s="1168">
        <v>860</v>
      </c>
    </row>
    <row r="1005" spans="1:8" ht="12.75">
      <c r="A1005" s="1822" t="s">
        <v>3050</v>
      </c>
      <c r="B1005" s="379" t="s">
        <v>3051</v>
      </c>
      <c r="C1005" s="1823" t="s">
        <v>714</v>
      </c>
      <c r="D1005" s="379" t="s">
        <v>3422</v>
      </c>
      <c r="E1005" s="1168">
        <v>0</v>
      </c>
      <c r="F1005" s="1168">
        <v>0</v>
      </c>
      <c r="G1005" s="1168">
        <v>215000</v>
      </c>
      <c r="H1005" s="1168">
        <v>0</v>
      </c>
    </row>
    <row r="1006" spans="1:8" ht="12.75">
      <c r="A1006" s="1822" t="s">
        <v>3052</v>
      </c>
      <c r="B1006" s="379" t="s">
        <v>3053</v>
      </c>
      <c r="C1006" s="1823" t="s">
        <v>3436</v>
      </c>
      <c r="D1006" s="379" t="s">
        <v>3422</v>
      </c>
      <c r="E1006" s="1168">
        <v>0</v>
      </c>
      <c r="F1006" s="1168">
        <v>1500000</v>
      </c>
      <c r="G1006" s="1168">
        <v>1499999.8</v>
      </c>
      <c r="H1006" s="1168">
        <v>0</v>
      </c>
    </row>
    <row r="1007" spans="1:8" ht="12.75">
      <c r="A1007" s="1822" t="s">
        <v>3054</v>
      </c>
      <c r="B1007" s="379" t="s">
        <v>3055</v>
      </c>
      <c r="C1007" s="1823" t="s">
        <v>3436</v>
      </c>
      <c r="D1007" s="379" t="s">
        <v>3422</v>
      </c>
      <c r="E1007" s="1168">
        <v>0</v>
      </c>
      <c r="F1007" s="1168">
        <v>442000</v>
      </c>
      <c r="G1007" s="1168">
        <v>441490</v>
      </c>
      <c r="H1007" s="1168">
        <v>510</v>
      </c>
    </row>
    <row r="1008" spans="1:8" ht="12.75">
      <c r="A1008" s="1822" t="s">
        <v>3056</v>
      </c>
      <c r="B1008" s="379" t="s">
        <v>3057</v>
      </c>
      <c r="C1008" s="1823" t="s">
        <v>3436</v>
      </c>
      <c r="D1008" s="379" t="s">
        <v>3422</v>
      </c>
      <c r="E1008" s="1168">
        <v>0</v>
      </c>
      <c r="F1008" s="1168">
        <v>353000</v>
      </c>
      <c r="G1008" s="1168">
        <v>352914</v>
      </c>
      <c r="H1008" s="1168">
        <v>80</v>
      </c>
    </row>
    <row r="1009" spans="1:8" ht="12.75">
      <c r="A1009" s="1822" t="s">
        <v>3058</v>
      </c>
      <c r="B1009" s="379" t="s">
        <v>3059</v>
      </c>
      <c r="C1009" s="1823" t="s">
        <v>2176</v>
      </c>
      <c r="D1009" s="379" t="s">
        <v>3422</v>
      </c>
      <c r="E1009" s="1168">
        <v>0</v>
      </c>
      <c r="F1009" s="1168">
        <v>130000</v>
      </c>
      <c r="G1009" s="1168">
        <v>129990</v>
      </c>
      <c r="H1009" s="1168">
        <v>0</v>
      </c>
    </row>
    <row r="1010" spans="1:8" ht="12.75">
      <c r="A1010" s="1822" t="s">
        <v>3060</v>
      </c>
      <c r="B1010" s="379" t="s">
        <v>2998</v>
      </c>
      <c r="C1010" s="1823" t="s">
        <v>2184</v>
      </c>
      <c r="D1010" s="379" t="s">
        <v>3422</v>
      </c>
      <c r="E1010" s="1168">
        <v>0</v>
      </c>
      <c r="F1010" s="1168">
        <v>414000</v>
      </c>
      <c r="G1010" s="1168">
        <v>413994</v>
      </c>
      <c r="H1010" s="1168">
        <v>6</v>
      </c>
    </row>
    <row r="1011" spans="1:8" ht="12.75">
      <c r="A1011" s="1822" t="s">
        <v>3061</v>
      </c>
      <c r="B1011" s="379" t="s">
        <v>3062</v>
      </c>
      <c r="C1011" s="1823" t="s">
        <v>3190</v>
      </c>
      <c r="D1011" s="379" t="s">
        <v>3422</v>
      </c>
      <c r="E1011" s="1168">
        <v>0</v>
      </c>
      <c r="F1011" s="1168">
        <v>57000</v>
      </c>
      <c r="G1011" s="1168">
        <v>57000</v>
      </c>
      <c r="H1011" s="1168">
        <v>0</v>
      </c>
    </row>
    <row r="1012" spans="1:8" ht="12.75">
      <c r="A1012" s="1822" t="s">
        <v>3063</v>
      </c>
      <c r="B1012" s="379" t="s">
        <v>3064</v>
      </c>
      <c r="C1012" s="1823" t="s">
        <v>3190</v>
      </c>
      <c r="D1012" s="379" t="s">
        <v>3423</v>
      </c>
      <c r="E1012" s="1168">
        <v>0</v>
      </c>
      <c r="F1012" s="1168">
        <v>600000</v>
      </c>
      <c r="G1012" s="1168">
        <v>0</v>
      </c>
      <c r="H1012" s="1168">
        <v>600000</v>
      </c>
    </row>
    <row r="1013" spans="1:8" ht="12.75">
      <c r="A1013" s="1822" t="s">
        <v>3065</v>
      </c>
      <c r="B1013" s="379" t="s">
        <v>3066</v>
      </c>
      <c r="C1013" s="1823" t="s">
        <v>2541</v>
      </c>
      <c r="D1013" s="379" t="s">
        <v>3422</v>
      </c>
      <c r="E1013" s="1168">
        <v>0</v>
      </c>
      <c r="F1013" s="1168">
        <v>87000</v>
      </c>
      <c r="G1013" s="1168">
        <v>86989</v>
      </c>
      <c r="H1013" s="1168">
        <v>11</v>
      </c>
    </row>
    <row r="1014" spans="1:8" ht="12.75">
      <c r="A1014" s="1822" t="s">
        <v>3067</v>
      </c>
      <c r="B1014" s="379" t="s">
        <v>3068</v>
      </c>
      <c r="C1014" s="1823" t="s">
        <v>3436</v>
      </c>
      <c r="D1014" s="379" t="s">
        <v>3422</v>
      </c>
      <c r="E1014" s="1168">
        <v>0</v>
      </c>
      <c r="F1014" s="1168">
        <v>11167000</v>
      </c>
      <c r="G1014" s="1168">
        <v>11166645.9</v>
      </c>
      <c r="H1014" s="1168">
        <v>350</v>
      </c>
    </row>
    <row r="1015" spans="1:8" ht="12.75">
      <c r="A1015" s="1822" t="s">
        <v>3069</v>
      </c>
      <c r="B1015" s="379" t="s">
        <v>3070</v>
      </c>
      <c r="C1015" s="1823" t="s">
        <v>3436</v>
      </c>
      <c r="D1015" s="379" t="s">
        <v>3422</v>
      </c>
      <c r="E1015" s="1168">
        <v>0</v>
      </c>
      <c r="F1015" s="1168">
        <v>335000</v>
      </c>
      <c r="G1015" s="1168">
        <v>334510.3</v>
      </c>
      <c r="H1015" s="1168">
        <v>480</v>
      </c>
    </row>
    <row r="1016" spans="1:8" ht="12.75">
      <c r="A1016" s="1822" t="s">
        <v>3071</v>
      </c>
      <c r="B1016" s="379" t="s">
        <v>3072</v>
      </c>
      <c r="C1016" s="1823" t="s">
        <v>2561</v>
      </c>
      <c r="D1016" s="379" t="s">
        <v>3422</v>
      </c>
      <c r="E1016" s="1168">
        <v>0</v>
      </c>
      <c r="F1016" s="1168">
        <v>181000</v>
      </c>
      <c r="G1016" s="1168">
        <v>180999</v>
      </c>
      <c r="H1016" s="1168">
        <v>1</v>
      </c>
    </row>
    <row r="1017" spans="1:8" ht="12.75">
      <c r="A1017" s="1822" t="s">
        <v>3073</v>
      </c>
      <c r="B1017" s="379" t="s">
        <v>3074</v>
      </c>
      <c r="C1017" s="1823" t="s">
        <v>3436</v>
      </c>
      <c r="D1017" s="379" t="s">
        <v>3422</v>
      </c>
      <c r="E1017" s="1168">
        <v>0</v>
      </c>
      <c r="F1017" s="1168">
        <v>442000</v>
      </c>
      <c r="G1017" s="1168">
        <v>405725.06</v>
      </c>
      <c r="H1017" s="1168">
        <v>36200</v>
      </c>
    </row>
    <row r="1018" spans="1:8" ht="12.75">
      <c r="A1018" s="1822" t="s">
        <v>3075</v>
      </c>
      <c r="B1018" s="379" t="s">
        <v>3076</v>
      </c>
      <c r="C1018" s="1823" t="s">
        <v>3190</v>
      </c>
      <c r="D1018" s="379" t="s">
        <v>3423</v>
      </c>
      <c r="E1018" s="1168">
        <v>0</v>
      </c>
      <c r="F1018" s="1168">
        <v>183000</v>
      </c>
      <c r="G1018" s="1168">
        <v>182996.5</v>
      </c>
      <c r="H1018" s="1168">
        <v>3</v>
      </c>
    </row>
    <row r="1019" spans="1:8" ht="12.75">
      <c r="A1019" s="1822" t="s">
        <v>3077</v>
      </c>
      <c r="B1019" s="379" t="s">
        <v>3076</v>
      </c>
      <c r="C1019" s="1823" t="s">
        <v>3190</v>
      </c>
      <c r="D1019" s="379" t="s">
        <v>3423</v>
      </c>
      <c r="E1019" s="1168">
        <v>0</v>
      </c>
      <c r="F1019" s="1168">
        <v>116000</v>
      </c>
      <c r="G1019" s="1168">
        <v>115996.5</v>
      </c>
      <c r="H1019" s="1168">
        <v>3</v>
      </c>
    </row>
    <row r="1020" spans="1:8" ht="12.75">
      <c r="A1020" s="1822" t="s">
        <v>3078</v>
      </c>
      <c r="B1020" s="379" t="s">
        <v>3079</v>
      </c>
      <c r="C1020" s="1823" t="s">
        <v>717</v>
      </c>
      <c r="D1020" s="379" t="s">
        <v>3422</v>
      </c>
      <c r="E1020" s="1168">
        <v>0</v>
      </c>
      <c r="F1020" s="1168">
        <v>0</v>
      </c>
      <c r="G1020" s="1168">
        <v>499741</v>
      </c>
      <c r="H1020" s="1168">
        <v>0</v>
      </c>
    </row>
    <row r="1021" spans="1:8" ht="12.75">
      <c r="A1021" s="1822" t="s">
        <v>3080</v>
      </c>
      <c r="B1021" s="379" t="s">
        <v>3081</v>
      </c>
      <c r="C1021" s="1823" t="s">
        <v>3190</v>
      </c>
      <c r="D1021" s="379" t="s">
        <v>3422</v>
      </c>
      <c r="E1021" s="1168">
        <v>0</v>
      </c>
      <c r="F1021" s="1168">
        <v>370000</v>
      </c>
      <c r="G1021" s="1168">
        <v>0</v>
      </c>
      <c r="H1021" s="1168">
        <v>370000</v>
      </c>
    </row>
    <row r="1022" spans="1:8" ht="12.75">
      <c r="A1022" s="1822" t="s">
        <v>3082</v>
      </c>
      <c r="B1022" s="379" t="s">
        <v>3083</v>
      </c>
      <c r="C1022" s="1823" t="s">
        <v>3190</v>
      </c>
      <c r="D1022" s="379" t="s">
        <v>3422</v>
      </c>
      <c r="E1022" s="1168">
        <v>0</v>
      </c>
      <c r="F1022" s="1168">
        <v>0</v>
      </c>
      <c r="G1022" s="1168">
        <v>732326</v>
      </c>
      <c r="H1022" s="1168">
        <v>0</v>
      </c>
    </row>
    <row r="1023" spans="1:8" ht="12.75">
      <c r="A1023" s="1822" t="s">
        <v>3084</v>
      </c>
      <c r="B1023" s="379" t="s">
        <v>3085</v>
      </c>
      <c r="C1023" s="1823" t="s">
        <v>3190</v>
      </c>
      <c r="D1023" s="379" t="s">
        <v>3422</v>
      </c>
      <c r="E1023" s="1168">
        <v>0</v>
      </c>
      <c r="F1023" s="1168">
        <v>93000</v>
      </c>
      <c r="G1023" s="1168">
        <v>0</v>
      </c>
      <c r="H1023" s="1168">
        <v>93000</v>
      </c>
    </row>
    <row r="1024" spans="1:8" ht="12.75">
      <c r="A1024" s="1822" t="s">
        <v>3086</v>
      </c>
      <c r="B1024" s="379" t="s">
        <v>3087</v>
      </c>
      <c r="C1024" s="1823" t="s">
        <v>2801</v>
      </c>
      <c r="D1024" s="379" t="s">
        <v>3422</v>
      </c>
      <c r="E1024" s="1168">
        <v>10000000</v>
      </c>
      <c r="F1024" s="1168">
        <v>0</v>
      </c>
      <c r="G1024" s="1168">
        <v>0</v>
      </c>
      <c r="H1024" s="1168">
        <v>0</v>
      </c>
    </row>
    <row r="1025" spans="1:8" s="174" customFormat="1" ht="12.75">
      <c r="A1025" s="1824" t="s">
        <v>3088</v>
      </c>
      <c r="B1025" s="1825"/>
      <c r="C1025" s="1825"/>
      <c r="D1025" s="1826"/>
      <c r="E1025" s="1821">
        <v>402860000</v>
      </c>
      <c r="F1025" s="1821">
        <v>450949000</v>
      </c>
      <c r="G1025" s="1821">
        <v>406682944.02</v>
      </c>
      <c r="H1025" s="1821">
        <v>46217858</v>
      </c>
    </row>
    <row r="1026" spans="1:8" ht="12.75">
      <c r="A1026" s="1822" t="s">
        <v>3089</v>
      </c>
      <c r="B1026" s="379" t="s">
        <v>3090</v>
      </c>
      <c r="C1026" s="1823" t="s">
        <v>3436</v>
      </c>
      <c r="D1026" s="379" t="s">
        <v>3422</v>
      </c>
      <c r="E1026" s="1168">
        <v>12240000</v>
      </c>
      <c r="F1026" s="1168">
        <v>6445000</v>
      </c>
      <c r="G1026" s="1168">
        <v>6444360</v>
      </c>
      <c r="H1026" s="1168">
        <v>570</v>
      </c>
    </row>
    <row r="1027" spans="1:8" ht="12.75">
      <c r="A1027" s="1822" t="s">
        <v>3091</v>
      </c>
      <c r="B1027" s="379" t="s">
        <v>3092</v>
      </c>
      <c r="C1027" s="1823" t="s">
        <v>3436</v>
      </c>
      <c r="D1027" s="379" t="s">
        <v>3422</v>
      </c>
      <c r="E1027" s="1168">
        <v>2340000</v>
      </c>
      <c r="F1027" s="1168">
        <v>5062000</v>
      </c>
      <c r="G1027" s="1168">
        <v>5061464</v>
      </c>
      <c r="H1027" s="1168">
        <v>0</v>
      </c>
    </row>
    <row r="1028" spans="1:8" ht="12.75">
      <c r="A1028" s="1822" t="s">
        <v>3093</v>
      </c>
      <c r="B1028" s="379" t="s">
        <v>3094</v>
      </c>
      <c r="C1028" s="1823" t="s">
        <v>3436</v>
      </c>
      <c r="D1028" s="379" t="s">
        <v>3422</v>
      </c>
      <c r="E1028" s="1168">
        <v>0</v>
      </c>
      <c r="F1028" s="1168">
        <v>1609000</v>
      </c>
      <c r="G1028" s="1168">
        <v>1608409.09</v>
      </c>
      <c r="H1028" s="1168">
        <v>0</v>
      </c>
    </row>
    <row r="1029" spans="1:8" s="174" customFormat="1" ht="12.75">
      <c r="A1029" s="1824" t="s">
        <v>3095</v>
      </c>
      <c r="B1029" s="1825"/>
      <c r="C1029" s="1825"/>
      <c r="D1029" s="1826"/>
      <c r="E1029" s="1821">
        <v>14580000</v>
      </c>
      <c r="F1029" s="1821">
        <v>13116000</v>
      </c>
      <c r="G1029" s="1821">
        <v>13114233.09</v>
      </c>
      <c r="H1029" s="1821">
        <v>570</v>
      </c>
    </row>
    <row r="1030" spans="1:8" ht="12.75">
      <c r="A1030" s="1822" t="s">
        <v>3096</v>
      </c>
      <c r="B1030" s="379" t="s">
        <v>3097</v>
      </c>
      <c r="C1030" s="1823" t="s">
        <v>3190</v>
      </c>
      <c r="D1030" s="379" t="s">
        <v>3422</v>
      </c>
      <c r="E1030" s="1168">
        <v>321908000</v>
      </c>
      <c r="F1030" s="1168">
        <v>321908000</v>
      </c>
      <c r="G1030" s="1168">
        <v>318874438</v>
      </c>
      <c r="H1030" s="1168">
        <v>3033562</v>
      </c>
    </row>
    <row r="1031" spans="1:8" ht="12.75">
      <c r="A1031" s="1822" t="s">
        <v>3096</v>
      </c>
      <c r="B1031" s="379" t="s">
        <v>3097</v>
      </c>
      <c r="C1031" s="1823" t="s">
        <v>3190</v>
      </c>
      <c r="D1031" s="379" t="s">
        <v>3423</v>
      </c>
      <c r="E1031" s="1168">
        <v>8555000</v>
      </c>
      <c r="F1031" s="1168">
        <v>10515000</v>
      </c>
      <c r="G1031" s="1168">
        <v>5273989.24</v>
      </c>
      <c r="H1031" s="1168">
        <v>5241009</v>
      </c>
    </row>
    <row r="1032" spans="1:8" ht="12.75">
      <c r="A1032" s="1822" t="s">
        <v>3098</v>
      </c>
      <c r="B1032" s="379" t="s">
        <v>3099</v>
      </c>
      <c r="C1032" s="1823" t="s">
        <v>3190</v>
      </c>
      <c r="D1032" s="379" t="s">
        <v>3422</v>
      </c>
      <c r="E1032" s="1168">
        <v>0</v>
      </c>
      <c r="F1032" s="1168">
        <v>819000</v>
      </c>
      <c r="G1032" s="1168">
        <v>307258</v>
      </c>
      <c r="H1032" s="1168">
        <v>511742</v>
      </c>
    </row>
    <row r="1033" spans="1:8" ht="12.75">
      <c r="A1033" s="1822" t="s">
        <v>3098</v>
      </c>
      <c r="B1033" s="379" t="s">
        <v>3099</v>
      </c>
      <c r="C1033" s="1823" t="s">
        <v>3190</v>
      </c>
      <c r="D1033" s="379" t="s">
        <v>3423</v>
      </c>
      <c r="E1033" s="1168">
        <v>300000</v>
      </c>
      <c r="F1033" s="1168">
        <v>0</v>
      </c>
      <c r="G1033" s="1168">
        <v>0</v>
      </c>
      <c r="H1033" s="1168">
        <v>0</v>
      </c>
    </row>
    <row r="1034" spans="1:8" ht="12.75">
      <c r="A1034" s="1822">
        <v>2141154001</v>
      </c>
      <c r="B1034" s="379" t="s">
        <v>3100</v>
      </c>
      <c r="C1034" s="1823" t="s">
        <v>3190</v>
      </c>
      <c r="D1034" s="379" t="s">
        <v>3422</v>
      </c>
      <c r="E1034" s="1168">
        <v>510000</v>
      </c>
      <c r="F1034" s="1168">
        <v>0</v>
      </c>
      <c r="G1034" s="1168">
        <v>0</v>
      </c>
      <c r="H1034" s="1168">
        <v>0</v>
      </c>
    </row>
    <row r="1035" spans="1:8" ht="12.75">
      <c r="A1035" s="1822" t="s">
        <v>3101</v>
      </c>
      <c r="B1035" s="379" t="s">
        <v>3102</v>
      </c>
      <c r="C1035" s="1823" t="s">
        <v>3436</v>
      </c>
      <c r="D1035" s="379" t="s">
        <v>3422</v>
      </c>
      <c r="E1035" s="1168">
        <v>900000</v>
      </c>
      <c r="F1035" s="1168">
        <v>883000</v>
      </c>
      <c r="G1035" s="1168">
        <v>882830.25</v>
      </c>
      <c r="H1035" s="1168">
        <v>0</v>
      </c>
    </row>
    <row r="1036" spans="1:8" ht="12.75">
      <c r="A1036" s="1822" t="s">
        <v>3103</v>
      </c>
      <c r="B1036" s="379" t="s">
        <v>3104</v>
      </c>
      <c r="C1036" s="1823" t="s">
        <v>3436</v>
      </c>
      <c r="D1036" s="379" t="s">
        <v>3422</v>
      </c>
      <c r="E1036" s="1168">
        <v>0</v>
      </c>
      <c r="F1036" s="1168">
        <v>508000</v>
      </c>
      <c r="G1036" s="1168">
        <v>507110</v>
      </c>
      <c r="H1036" s="1168">
        <v>0</v>
      </c>
    </row>
    <row r="1037" spans="1:8" s="174" customFormat="1" ht="12.75">
      <c r="A1037" s="1824" t="s">
        <v>3105</v>
      </c>
      <c r="B1037" s="1825"/>
      <c r="C1037" s="1825"/>
      <c r="D1037" s="1826"/>
      <c r="E1037" s="1821">
        <v>332173000</v>
      </c>
      <c r="F1037" s="1821">
        <v>334633000</v>
      </c>
      <c r="G1037" s="1821">
        <v>325845625.49</v>
      </c>
      <c r="H1037" s="1821">
        <v>8786313</v>
      </c>
    </row>
    <row r="1038" spans="1:8" ht="12.75">
      <c r="A1038" s="1822" t="s">
        <v>3106</v>
      </c>
      <c r="B1038" s="379" t="s">
        <v>3107</v>
      </c>
      <c r="C1038" s="1823" t="s">
        <v>2176</v>
      </c>
      <c r="D1038" s="379" t="s">
        <v>3422</v>
      </c>
      <c r="E1038" s="1168">
        <v>3000000</v>
      </c>
      <c r="F1038" s="1168">
        <v>3000000</v>
      </c>
      <c r="G1038" s="1168">
        <v>12600</v>
      </c>
      <c r="H1038" s="1168">
        <v>2987400</v>
      </c>
    </row>
    <row r="1039" spans="1:8" ht="12.75">
      <c r="A1039" s="1822" t="s">
        <v>3108</v>
      </c>
      <c r="B1039" s="379" t="s">
        <v>3109</v>
      </c>
      <c r="C1039" s="1823" t="s">
        <v>2176</v>
      </c>
      <c r="D1039" s="379" t="s">
        <v>3422</v>
      </c>
      <c r="E1039" s="1168">
        <v>0</v>
      </c>
      <c r="F1039" s="1168">
        <v>150000</v>
      </c>
      <c r="G1039" s="1168">
        <v>0</v>
      </c>
      <c r="H1039" s="1168">
        <v>150000</v>
      </c>
    </row>
    <row r="1040" spans="1:8" ht="12.75">
      <c r="A1040" s="1822" t="s">
        <v>3110</v>
      </c>
      <c r="B1040" s="379" t="s">
        <v>3111</v>
      </c>
      <c r="C1040" s="1823" t="s">
        <v>2176</v>
      </c>
      <c r="D1040" s="379" t="s">
        <v>3422</v>
      </c>
      <c r="E1040" s="1168">
        <v>0</v>
      </c>
      <c r="F1040" s="1168">
        <v>320000</v>
      </c>
      <c r="G1040" s="1168">
        <v>0</v>
      </c>
      <c r="H1040" s="1168">
        <v>320000</v>
      </c>
    </row>
    <row r="1041" spans="1:8" ht="12.75">
      <c r="A1041" s="1822" t="s">
        <v>3112</v>
      </c>
      <c r="B1041" s="379" t="s">
        <v>828</v>
      </c>
      <c r="C1041" s="1823" t="s">
        <v>2176</v>
      </c>
      <c r="D1041" s="379" t="s">
        <v>3422</v>
      </c>
      <c r="E1041" s="1168">
        <v>0</v>
      </c>
      <c r="F1041" s="1168">
        <v>169000</v>
      </c>
      <c r="G1041" s="1168">
        <v>0</v>
      </c>
      <c r="H1041" s="1168">
        <v>169000</v>
      </c>
    </row>
    <row r="1042" spans="1:8" ht="12.75">
      <c r="A1042" s="1822" t="s">
        <v>829</v>
      </c>
      <c r="B1042" s="379" t="s">
        <v>830</v>
      </c>
      <c r="C1042" s="1823" t="s">
        <v>2176</v>
      </c>
      <c r="D1042" s="379" t="s">
        <v>3422</v>
      </c>
      <c r="E1042" s="1168">
        <v>0</v>
      </c>
      <c r="F1042" s="1168">
        <v>450000</v>
      </c>
      <c r="G1042" s="1168">
        <v>5500</v>
      </c>
      <c r="H1042" s="1168">
        <v>444500</v>
      </c>
    </row>
    <row r="1043" spans="1:8" ht="12.75">
      <c r="A1043" s="1822" t="s">
        <v>831</v>
      </c>
      <c r="B1043" s="379" t="s">
        <v>832</v>
      </c>
      <c r="C1043" s="1823" t="s">
        <v>2176</v>
      </c>
      <c r="D1043" s="379" t="s">
        <v>3422</v>
      </c>
      <c r="E1043" s="1168">
        <v>0</v>
      </c>
      <c r="F1043" s="1168">
        <v>247000</v>
      </c>
      <c r="G1043" s="1168">
        <v>0</v>
      </c>
      <c r="H1043" s="1168">
        <v>247000</v>
      </c>
    </row>
    <row r="1044" spans="1:8" ht="12.75">
      <c r="A1044" s="1822" t="s">
        <v>833</v>
      </c>
      <c r="B1044" s="379" t="s">
        <v>834</v>
      </c>
      <c r="C1044" s="1823" t="s">
        <v>2176</v>
      </c>
      <c r="D1044" s="379" t="s">
        <v>3422</v>
      </c>
      <c r="E1044" s="1168">
        <v>0</v>
      </c>
      <c r="F1044" s="1168">
        <v>120000</v>
      </c>
      <c r="G1044" s="1168">
        <v>0</v>
      </c>
      <c r="H1044" s="1168">
        <v>120000</v>
      </c>
    </row>
    <row r="1045" spans="1:8" ht="12.75">
      <c r="A1045" s="1822" t="s">
        <v>835</v>
      </c>
      <c r="B1045" s="379" t="s">
        <v>836</v>
      </c>
      <c r="C1045" s="1823" t="s">
        <v>2176</v>
      </c>
      <c r="D1045" s="379" t="s">
        <v>3422</v>
      </c>
      <c r="E1045" s="1168">
        <v>1500000</v>
      </c>
      <c r="F1045" s="1168">
        <v>2000000</v>
      </c>
      <c r="G1045" s="1168">
        <v>0</v>
      </c>
      <c r="H1045" s="1168">
        <v>2000000</v>
      </c>
    </row>
    <row r="1046" spans="1:8" ht="12.75">
      <c r="A1046" s="1822" t="s">
        <v>837</v>
      </c>
      <c r="B1046" s="379" t="s">
        <v>838</v>
      </c>
      <c r="C1046" s="1823" t="s">
        <v>2184</v>
      </c>
      <c r="D1046" s="379" t="s">
        <v>3422</v>
      </c>
      <c r="E1046" s="1168">
        <v>0</v>
      </c>
      <c r="F1046" s="1168">
        <v>1313000</v>
      </c>
      <c r="G1046" s="1168">
        <v>1312447</v>
      </c>
      <c r="H1046" s="1168">
        <v>553</v>
      </c>
    </row>
    <row r="1047" spans="1:8" ht="12.75">
      <c r="A1047" s="1822" t="s">
        <v>839</v>
      </c>
      <c r="B1047" s="379" t="s">
        <v>840</v>
      </c>
      <c r="C1047" s="1823" t="s">
        <v>2193</v>
      </c>
      <c r="D1047" s="379" t="s">
        <v>3422</v>
      </c>
      <c r="E1047" s="1168">
        <v>0</v>
      </c>
      <c r="F1047" s="1168">
        <v>488000</v>
      </c>
      <c r="G1047" s="1168">
        <v>487900</v>
      </c>
      <c r="H1047" s="1168">
        <v>0</v>
      </c>
    </row>
    <row r="1048" spans="1:8" ht="12.75">
      <c r="A1048" s="1822" t="s">
        <v>841</v>
      </c>
      <c r="B1048" s="379" t="s">
        <v>842</v>
      </c>
      <c r="C1048" s="1823" t="s">
        <v>2193</v>
      </c>
      <c r="D1048" s="379" t="s">
        <v>3422</v>
      </c>
      <c r="E1048" s="1168">
        <v>0</v>
      </c>
      <c r="F1048" s="1168">
        <v>599000</v>
      </c>
      <c r="G1048" s="1168">
        <v>598943</v>
      </c>
      <c r="H1048" s="1168">
        <v>0</v>
      </c>
    </row>
    <row r="1049" spans="1:8" ht="12.75">
      <c r="A1049" s="1822" t="s">
        <v>843</v>
      </c>
      <c r="B1049" s="379" t="s">
        <v>844</v>
      </c>
      <c r="C1049" s="1823" t="s">
        <v>2193</v>
      </c>
      <c r="D1049" s="379" t="s">
        <v>3422</v>
      </c>
      <c r="E1049" s="1168">
        <v>0</v>
      </c>
      <c r="F1049" s="1168">
        <v>164000</v>
      </c>
      <c r="G1049" s="1168">
        <v>163063.4</v>
      </c>
      <c r="H1049" s="1168">
        <v>900</v>
      </c>
    </row>
    <row r="1050" spans="1:8" ht="12.75">
      <c r="A1050" s="1822" t="s">
        <v>845</v>
      </c>
      <c r="B1050" s="379" t="s">
        <v>846</v>
      </c>
      <c r="C1050" s="1823" t="s">
        <v>2193</v>
      </c>
      <c r="D1050" s="379" t="s">
        <v>3422</v>
      </c>
      <c r="E1050" s="1168">
        <v>0</v>
      </c>
      <c r="F1050" s="1168">
        <v>844000</v>
      </c>
      <c r="G1050" s="1168">
        <v>843809</v>
      </c>
      <c r="H1050" s="1168">
        <v>0</v>
      </c>
    </row>
    <row r="1051" spans="1:8" ht="12.75">
      <c r="A1051" s="1822" t="s">
        <v>847</v>
      </c>
      <c r="B1051" s="379" t="s">
        <v>848</v>
      </c>
      <c r="C1051" s="1823" t="s">
        <v>2193</v>
      </c>
      <c r="D1051" s="379" t="s">
        <v>3422</v>
      </c>
      <c r="E1051" s="1168">
        <v>0</v>
      </c>
      <c r="F1051" s="1168">
        <v>539000</v>
      </c>
      <c r="G1051" s="1168">
        <v>538828</v>
      </c>
      <c r="H1051" s="1168">
        <v>0</v>
      </c>
    </row>
    <row r="1052" spans="1:8" ht="12.75">
      <c r="A1052" s="1822" t="s">
        <v>849</v>
      </c>
      <c r="B1052" s="379" t="s">
        <v>850</v>
      </c>
      <c r="C1052" s="1823" t="s">
        <v>2193</v>
      </c>
      <c r="D1052" s="379" t="s">
        <v>3422</v>
      </c>
      <c r="E1052" s="1168">
        <v>0</v>
      </c>
      <c r="F1052" s="1168">
        <v>469000</v>
      </c>
      <c r="G1052" s="1168">
        <v>468639</v>
      </c>
      <c r="H1052" s="1168">
        <v>300</v>
      </c>
    </row>
    <row r="1053" spans="1:8" ht="12.75">
      <c r="A1053" s="1822" t="s">
        <v>851</v>
      </c>
      <c r="B1053" s="379" t="s">
        <v>852</v>
      </c>
      <c r="C1053" s="1823" t="s">
        <v>2193</v>
      </c>
      <c r="D1053" s="379" t="s">
        <v>3422</v>
      </c>
      <c r="E1053" s="1168">
        <v>0</v>
      </c>
      <c r="F1053" s="1168">
        <v>2051000</v>
      </c>
      <c r="G1053" s="1168">
        <v>2050088.1</v>
      </c>
      <c r="H1053" s="1168">
        <v>900</v>
      </c>
    </row>
    <row r="1054" spans="1:8" ht="12.75">
      <c r="A1054" s="1822" t="s">
        <v>853</v>
      </c>
      <c r="B1054" s="379" t="s">
        <v>854</v>
      </c>
      <c r="C1054" s="1823" t="s">
        <v>2193</v>
      </c>
      <c r="D1054" s="379" t="s">
        <v>3422</v>
      </c>
      <c r="E1054" s="1168">
        <v>0</v>
      </c>
      <c r="F1054" s="1168">
        <v>1567000</v>
      </c>
      <c r="G1054" s="1168">
        <v>1566050</v>
      </c>
      <c r="H1054" s="1168">
        <v>900</v>
      </c>
    </row>
    <row r="1055" spans="1:8" ht="12.75">
      <c r="A1055" s="1822" t="s">
        <v>855</v>
      </c>
      <c r="B1055" s="379" t="s">
        <v>856</v>
      </c>
      <c r="C1055" s="1823" t="s">
        <v>2532</v>
      </c>
      <c r="D1055" s="379" t="s">
        <v>3422</v>
      </c>
      <c r="E1055" s="1168">
        <v>236000</v>
      </c>
      <c r="F1055" s="1168">
        <v>236000</v>
      </c>
      <c r="G1055" s="1168">
        <v>212534</v>
      </c>
      <c r="H1055" s="1168">
        <v>23000</v>
      </c>
    </row>
    <row r="1056" spans="1:8" ht="12.75">
      <c r="A1056" s="1822" t="s">
        <v>857</v>
      </c>
      <c r="B1056" s="379" t="s">
        <v>858</v>
      </c>
      <c r="C1056" s="1823" t="s">
        <v>2176</v>
      </c>
      <c r="D1056" s="379" t="s">
        <v>3422</v>
      </c>
      <c r="E1056" s="1168">
        <v>200000</v>
      </c>
      <c r="F1056" s="1168">
        <v>200000</v>
      </c>
      <c r="G1056" s="1168">
        <v>0</v>
      </c>
      <c r="H1056" s="1168">
        <v>200000</v>
      </c>
    </row>
    <row r="1057" spans="1:8" ht="12.75">
      <c r="A1057" s="1822">
        <v>2141174003</v>
      </c>
      <c r="B1057" s="379" t="s">
        <v>859</v>
      </c>
      <c r="C1057" s="1823" t="s">
        <v>2176</v>
      </c>
      <c r="D1057" s="379" t="s">
        <v>3422</v>
      </c>
      <c r="E1057" s="1168">
        <v>500000</v>
      </c>
      <c r="F1057" s="1168">
        <v>0</v>
      </c>
      <c r="G1057" s="1168">
        <v>0</v>
      </c>
      <c r="H1057" s="1168">
        <v>0</v>
      </c>
    </row>
    <row r="1058" spans="1:8" ht="12.75">
      <c r="A1058" s="1822" t="s">
        <v>860</v>
      </c>
      <c r="B1058" s="379" t="s">
        <v>861</v>
      </c>
      <c r="C1058" s="1823" t="s">
        <v>2176</v>
      </c>
      <c r="D1058" s="379" t="s">
        <v>3422</v>
      </c>
      <c r="E1058" s="1168">
        <v>500000</v>
      </c>
      <c r="F1058" s="1168">
        <v>500000</v>
      </c>
      <c r="G1058" s="1168">
        <v>0</v>
      </c>
      <c r="H1058" s="1168">
        <v>500000</v>
      </c>
    </row>
    <row r="1059" spans="1:8" ht="12.75">
      <c r="A1059" s="1822" t="s">
        <v>862</v>
      </c>
      <c r="B1059" s="379" t="s">
        <v>863</v>
      </c>
      <c r="C1059" s="1823" t="s">
        <v>2561</v>
      </c>
      <c r="D1059" s="379" t="s">
        <v>3422</v>
      </c>
      <c r="E1059" s="1168">
        <v>497000</v>
      </c>
      <c r="F1059" s="1168">
        <v>808000</v>
      </c>
      <c r="G1059" s="1168">
        <v>806682</v>
      </c>
      <c r="H1059" s="1168">
        <v>1318</v>
      </c>
    </row>
    <row r="1060" spans="1:8" ht="12.75">
      <c r="A1060" s="1822" t="s">
        <v>864</v>
      </c>
      <c r="B1060" s="379" t="s">
        <v>865</v>
      </c>
      <c r="C1060" s="1823" t="s">
        <v>3190</v>
      </c>
      <c r="D1060" s="379" t="s">
        <v>3422</v>
      </c>
      <c r="E1060" s="1168">
        <v>0</v>
      </c>
      <c r="F1060" s="1168">
        <v>0</v>
      </c>
      <c r="G1060" s="1168">
        <v>99750</v>
      </c>
      <c r="H1060" s="1168">
        <v>0</v>
      </c>
    </row>
    <row r="1061" spans="1:8" s="174" customFormat="1" ht="12.75">
      <c r="A1061" s="1824" t="s">
        <v>866</v>
      </c>
      <c r="B1061" s="1825"/>
      <c r="C1061" s="1825"/>
      <c r="D1061" s="1826"/>
      <c r="E1061" s="1821">
        <v>6433000</v>
      </c>
      <c r="F1061" s="1821">
        <v>16234000</v>
      </c>
      <c r="G1061" s="1821">
        <v>9166833.5</v>
      </c>
      <c r="H1061" s="1821">
        <v>7165771</v>
      </c>
    </row>
    <row r="1062" spans="1:8" ht="12.75">
      <c r="A1062" s="1822" t="s">
        <v>867</v>
      </c>
      <c r="B1062" s="379" t="s">
        <v>868</v>
      </c>
      <c r="C1062" s="1823" t="s">
        <v>2176</v>
      </c>
      <c r="D1062" s="379" t="s">
        <v>3422</v>
      </c>
      <c r="E1062" s="1168">
        <v>0</v>
      </c>
      <c r="F1062" s="1168">
        <v>21150000</v>
      </c>
      <c r="G1062" s="1168">
        <v>5446995</v>
      </c>
      <c r="H1062" s="1168">
        <v>15702935</v>
      </c>
    </row>
    <row r="1063" spans="1:8" ht="12.75">
      <c r="A1063" s="1822" t="s">
        <v>869</v>
      </c>
      <c r="B1063" s="379" t="s">
        <v>870</v>
      </c>
      <c r="C1063" s="1823" t="s">
        <v>2541</v>
      </c>
      <c r="D1063" s="379" t="s">
        <v>3423</v>
      </c>
      <c r="E1063" s="1168">
        <v>0</v>
      </c>
      <c r="F1063" s="1168">
        <v>4738000</v>
      </c>
      <c r="G1063" s="1168">
        <v>4737320</v>
      </c>
      <c r="H1063" s="1168">
        <v>680</v>
      </c>
    </row>
    <row r="1064" spans="1:8" ht="12.75">
      <c r="A1064" s="1822" t="s">
        <v>871</v>
      </c>
      <c r="B1064" s="379" t="s">
        <v>872</v>
      </c>
      <c r="C1064" s="1823" t="s">
        <v>2532</v>
      </c>
      <c r="D1064" s="379" t="s">
        <v>3423</v>
      </c>
      <c r="E1064" s="1168">
        <v>0</v>
      </c>
      <c r="F1064" s="1168">
        <v>60000</v>
      </c>
      <c r="G1064" s="1168">
        <v>0</v>
      </c>
      <c r="H1064" s="1168">
        <v>60000</v>
      </c>
    </row>
    <row r="1065" spans="1:8" ht="12.75">
      <c r="A1065" s="1822" t="s">
        <v>873</v>
      </c>
      <c r="B1065" s="379" t="s">
        <v>874</v>
      </c>
      <c r="C1065" s="1823" t="s">
        <v>2176</v>
      </c>
      <c r="D1065" s="379" t="s">
        <v>3423</v>
      </c>
      <c r="E1065" s="1168">
        <v>0</v>
      </c>
      <c r="F1065" s="1168">
        <v>7000000</v>
      </c>
      <c r="G1065" s="1168">
        <v>0</v>
      </c>
      <c r="H1065" s="1168">
        <v>7000000</v>
      </c>
    </row>
    <row r="1066" spans="1:8" ht="12.75">
      <c r="A1066" s="1822" t="s">
        <v>875</v>
      </c>
      <c r="B1066" s="379" t="s">
        <v>876</v>
      </c>
      <c r="C1066" s="1823" t="s">
        <v>2176</v>
      </c>
      <c r="D1066" s="379" t="s">
        <v>3423</v>
      </c>
      <c r="E1066" s="1168">
        <v>0</v>
      </c>
      <c r="F1066" s="1168">
        <v>625000</v>
      </c>
      <c r="G1066" s="1168">
        <v>624432.5</v>
      </c>
      <c r="H1066" s="1168">
        <v>0</v>
      </c>
    </row>
    <row r="1067" spans="1:8" ht="12.75">
      <c r="A1067" s="1822" t="s">
        <v>877</v>
      </c>
      <c r="B1067" s="379" t="s">
        <v>878</v>
      </c>
      <c r="C1067" s="1823" t="s">
        <v>2176</v>
      </c>
      <c r="D1067" s="379" t="s">
        <v>3423</v>
      </c>
      <c r="E1067" s="1168">
        <v>0</v>
      </c>
      <c r="F1067" s="1168">
        <v>2005000</v>
      </c>
      <c r="G1067" s="1168">
        <v>53600</v>
      </c>
      <c r="H1067" s="1168">
        <v>1951400</v>
      </c>
    </row>
    <row r="1068" spans="1:8" ht="12.75">
      <c r="A1068" s="1822" t="s">
        <v>879</v>
      </c>
      <c r="B1068" s="379" t="s">
        <v>880</v>
      </c>
      <c r="C1068" s="1823" t="s">
        <v>2176</v>
      </c>
      <c r="D1068" s="379" t="s">
        <v>3423</v>
      </c>
      <c r="E1068" s="1168">
        <v>0</v>
      </c>
      <c r="F1068" s="1168">
        <v>3599000</v>
      </c>
      <c r="G1068" s="1168">
        <v>42935.25</v>
      </c>
      <c r="H1068" s="1168">
        <v>3556064.75</v>
      </c>
    </row>
    <row r="1069" spans="1:8" ht="12.75">
      <c r="A1069" s="1822" t="s">
        <v>881</v>
      </c>
      <c r="B1069" s="379" t="s">
        <v>882</v>
      </c>
      <c r="C1069" s="1823" t="s">
        <v>2532</v>
      </c>
      <c r="D1069" s="379" t="s">
        <v>3423</v>
      </c>
      <c r="E1069" s="1168">
        <v>0</v>
      </c>
      <c r="F1069" s="1168">
        <v>5006000</v>
      </c>
      <c r="G1069" s="1168">
        <v>48076</v>
      </c>
      <c r="H1069" s="1168">
        <v>4957000</v>
      </c>
    </row>
    <row r="1070" spans="1:8" s="174" customFormat="1" ht="12.75">
      <c r="A1070" s="1824" t="s">
        <v>883</v>
      </c>
      <c r="B1070" s="1825"/>
      <c r="C1070" s="1825"/>
      <c r="D1070" s="1826"/>
      <c r="E1070" s="1821">
        <v>0</v>
      </c>
      <c r="F1070" s="1821">
        <v>44183000</v>
      </c>
      <c r="G1070" s="1821">
        <v>10953358.75</v>
      </c>
      <c r="H1070" s="1821">
        <v>33228079.75</v>
      </c>
    </row>
    <row r="1071" spans="1:8" ht="12.75">
      <c r="A1071" s="1822" t="s">
        <v>884</v>
      </c>
      <c r="B1071" s="379" t="s">
        <v>885</v>
      </c>
      <c r="C1071" s="1823" t="s">
        <v>2532</v>
      </c>
      <c r="D1071" s="379" t="s">
        <v>3423</v>
      </c>
      <c r="E1071" s="1168">
        <v>0</v>
      </c>
      <c r="F1071" s="1168">
        <v>216000</v>
      </c>
      <c r="G1071" s="1168">
        <v>215985</v>
      </c>
      <c r="H1071" s="1168">
        <v>0</v>
      </c>
    </row>
    <row r="1072" spans="1:8" ht="12.75">
      <c r="A1072" s="1822" t="s">
        <v>886</v>
      </c>
      <c r="B1072" s="379" t="s">
        <v>887</v>
      </c>
      <c r="C1072" s="1823" t="s">
        <v>2532</v>
      </c>
      <c r="D1072" s="379" t="s">
        <v>3423</v>
      </c>
      <c r="E1072" s="1168">
        <v>0</v>
      </c>
      <c r="F1072" s="1168">
        <v>153000</v>
      </c>
      <c r="G1072" s="1168">
        <v>152987</v>
      </c>
      <c r="H1072" s="1168">
        <v>0</v>
      </c>
    </row>
    <row r="1073" spans="1:8" ht="12.75">
      <c r="A1073" s="1822" t="s">
        <v>888</v>
      </c>
      <c r="B1073" s="379" t="s">
        <v>889</v>
      </c>
      <c r="C1073" s="1823" t="s">
        <v>2532</v>
      </c>
      <c r="D1073" s="379" t="s">
        <v>3423</v>
      </c>
      <c r="E1073" s="1168">
        <v>0</v>
      </c>
      <c r="F1073" s="1168">
        <v>232000</v>
      </c>
      <c r="G1073" s="1168">
        <v>231455</v>
      </c>
      <c r="H1073" s="1168">
        <v>0</v>
      </c>
    </row>
    <row r="1074" spans="1:8" ht="12.75">
      <c r="A1074" s="1822" t="s">
        <v>890</v>
      </c>
      <c r="B1074" s="379" t="s">
        <v>891</v>
      </c>
      <c r="C1074" s="1823" t="s">
        <v>2532</v>
      </c>
      <c r="D1074" s="379" t="s">
        <v>3423</v>
      </c>
      <c r="E1074" s="1168">
        <v>0</v>
      </c>
      <c r="F1074" s="1168">
        <v>87000</v>
      </c>
      <c r="G1074" s="1168">
        <v>86513</v>
      </c>
      <c r="H1074" s="1168">
        <v>0</v>
      </c>
    </row>
    <row r="1075" spans="1:8" ht="12.75">
      <c r="A1075" s="1822" t="s">
        <v>892</v>
      </c>
      <c r="B1075" s="379" t="s">
        <v>893</v>
      </c>
      <c r="C1075" s="1823" t="s">
        <v>2532</v>
      </c>
      <c r="D1075" s="379" t="s">
        <v>3423</v>
      </c>
      <c r="E1075" s="1168">
        <v>0</v>
      </c>
      <c r="F1075" s="1168">
        <v>103000</v>
      </c>
      <c r="G1075" s="1168">
        <v>102102</v>
      </c>
      <c r="H1075" s="1168">
        <v>0</v>
      </c>
    </row>
    <row r="1076" spans="1:8" ht="12.75">
      <c r="A1076" s="1822" t="s">
        <v>894</v>
      </c>
      <c r="B1076" s="379" t="s">
        <v>895</v>
      </c>
      <c r="C1076" s="1823" t="s">
        <v>2532</v>
      </c>
      <c r="D1076" s="379" t="s">
        <v>3423</v>
      </c>
      <c r="E1076" s="1168">
        <v>0</v>
      </c>
      <c r="F1076" s="1168">
        <v>135000</v>
      </c>
      <c r="G1076" s="1168">
        <v>135000</v>
      </c>
      <c r="H1076" s="1168">
        <v>0</v>
      </c>
    </row>
    <row r="1077" spans="1:8" ht="12.75">
      <c r="A1077" s="1822" t="s">
        <v>896</v>
      </c>
      <c r="B1077" s="379" t="s">
        <v>897</v>
      </c>
      <c r="C1077" s="1823" t="s">
        <v>2532</v>
      </c>
      <c r="D1077" s="379" t="s">
        <v>3423</v>
      </c>
      <c r="E1077" s="1168">
        <v>0</v>
      </c>
      <c r="F1077" s="1168">
        <v>116000</v>
      </c>
      <c r="G1077" s="1168">
        <v>115930</v>
      </c>
      <c r="H1077" s="1168">
        <v>0</v>
      </c>
    </row>
    <row r="1078" spans="1:8" ht="12.75">
      <c r="A1078" s="1822" t="s">
        <v>898</v>
      </c>
      <c r="B1078" s="379" t="s">
        <v>899</v>
      </c>
      <c r="C1078" s="1823" t="s">
        <v>2532</v>
      </c>
      <c r="D1078" s="379" t="s">
        <v>3423</v>
      </c>
      <c r="E1078" s="1168">
        <v>0</v>
      </c>
      <c r="F1078" s="1168">
        <v>71000</v>
      </c>
      <c r="G1078" s="1168">
        <v>70315</v>
      </c>
      <c r="H1078" s="1168">
        <v>0</v>
      </c>
    </row>
    <row r="1079" spans="1:8" ht="12.75">
      <c r="A1079" s="1822" t="s">
        <v>900</v>
      </c>
      <c r="B1079" s="379" t="s">
        <v>901</v>
      </c>
      <c r="C1079" s="1823" t="s">
        <v>2169</v>
      </c>
      <c r="D1079" s="379" t="s">
        <v>3423</v>
      </c>
      <c r="E1079" s="1168">
        <v>192000</v>
      </c>
      <c r="F1079" s="1168">
        <v>125000</v>
      </c>
      <c r="G1079" s="1168">
        <v>124950</v>
      </c>
      <c r="H1079" s="1168">
        <v>50</v>
      </c>
    </row>
    <row r="1080" spans="1:8" ht="12.75">
      <c r="A1080" s="1822" t="s">
        <v>902</v>
      </c>
      <c r="B1080" s="379" t="s">
        <v>903</v>
      </c>
      <c r="C1080" s="1823" t="s">
        <v>2169</v>
      </c>
      <c r="D1080" s="379" t="s">
        <v>3423</v>
      </c>
      <c r="E1080" s="1168">
        <v>188000</v>
      </c>
      <c r="F1080" s="1168">
        <v>106000</v>
      </c>
      <c r="G1080" s="1168">
        <v>105910</v>
      </c>
      <c r="H1080" s="1168">
        <v>90</v>
      </c>
    </row>
    <row r="1081" spans="1:8" ht="12.75">
      <c r="A1081" s="1822" t="s">
        <v>904</v>
      </c>
      <c r="B1081" s="379" t="s">
        <v>905</v>
      </c>
      <c r="C1081" s="1823" t="s">
        <v>2169</v>
      </c>
      <c r="D1081" s="379" t="s">
        <v>3423</v>
      </c>
      <c r="E1081" s="1168">
        <v>139000</v>
      </c>
      <c r="F1081" s="1168">
        <v>36000</v>
      </c>
      <c r="G1081" s="1168">
        <v>35700</v>
      </c>
      <c r="H1081" s="1168">
        <v>300</v>
      </c>
    </row>
    <row r="1082" spans="1:8" ht="12.75">
      <c r="A1082" s="1822" t="s">
        <v>906</v>
      </c>
      <c r="B1082" s="379" t="s">
        <v>907</v>
      </c>
      <c r="C1082" s="1823" t="s">
        <v>2169</v>
      </c>
      <c r="D1082" s="379" t="s">
        <v>3423</v>
      </c>
      <c r="E1082" s="1168">
        <v>105000</v>
      </c>
      <c r="F1082" s="1168">
        <v>48000</v>
      </c>
      <c r="G1082" s="1168">
        <v>47600</v>
      </c>
      <c r="H1082" s="1168">
        <v>400</v>
      </c>
    </row>
    <row r="1083" spans="1:8" ht="12.75">
      <c r="A1083" s="1822" t="s">
        <v>908</v>
      </c>
      <c r="B1083" s="379" t="s">
        <v>909</v>
      </c>
      <c r="C1083" s="1823" t="s">
        <v>2169</v>
      </c>
      <c r="D1083" s="379" t="s">
        <v>3423</v>
      </c>
      <c r="E1083" s="1168">
        <v>346000</v>
      </c>
      <c r="F1083" s="1168">
        <v>125000</v>
      </c>
      <c r="G1083" s="1168">
        <v>124950</v>
      </c>
      <c r="H1083" s="1168">
        <v>50</v>
      </c>
    </row>
    <row r="1084" spans="1:8" ht="12.75">
      <c r="A1084" s="1822" t="s">
        <v>910</v>
      </c>
      <c r="B1084" s="379" t="s">
        <v>911</v>
      </c>
      <c r="C1084" s="1823" t="s">
        <v>2169</v>
      </c>
      <c r="D1084" s="379" t="s">
        <v>3423</v>
      </c>
      <c r="E1084" s="1168">
        <v>91000</v>
      </c>
      <c r="F1084" s="1168">
        <v>48000</v>
      </c>
      <c r="G1084" s="1168">
        <v>47600</v>
      </c>
      <c r="H1084" s="1168">
        <v>400</v>
      </c>
    </row>
    <row r="1085" spans="1:8" ht="12.75">
      <c r="A1085" s="1822" t="s">
        <v>912</v>
      </c>
      <c r="B1085" s="379" t="s">
        <v>913</v>
      </c>
      <c r="C1085" s="1823" t="s">
        <v>2169</v>
      </c>
      <c r="D1085" s="379" t="s">
        <v>3423</v>
      </c>
      <c r="E1085" s="1168">
        <v>89000</v>
      </c>
      <c r="F1085" s="1168">
        <v>36000</v>
      </c>
      <c r="G1085" s="1168">
        <v>35700</v>
      </c>
      <c r="H1085" s="1168">
        <v>300</v>
      </c>
    </row>
    <row r="1086" spans="1:8" ht="12.75">
      <c r="A1086" s="1822" t="s">
        <v>914</v>
      </c>
      <c r="B1086" s="379" t="s">
        <v>915</v>
      </c>
      <c r="C1086" s="1823" t="s">
        <v>2169</v>
      </c>
      <c r="D1086" s="379" t="s">
        <v>3423</v>
      </c>
      <c r="E1086" s="1168">
        <v>224000</v>
      </c>
      <c r="F1086" s="1168">
        <v>106000</v>
      </c>
      <c r="G1086" s="1168">
        <v>105910</v>
      </c>
      <c r="H1086" s="1168">
        <v>90</v>
      </c>
    </row>
    <row r="1087" spans="1:8" ht="12.75">
      <c r="A1087" s="1822" t="s">
        <v>916</v>
      </c>
      <c r="B1087" s="379" t="s">
        <v>917</v>
      </c>
      <c r="C1087" s="1823" t="s">
        <v>2169</v>
      </c>
      <c r="D1087" s="379" t="s">
        <v>3423</v>
      </c>
      <c r="E1087" s="1168">
        <v>407000</v>
      </c>
      <c r="F1087" s="1168">
        <v>108000</v>
      </c>
      <c r="G1087" s="1168">
        <v>107100</v>
      </c>
      <c r="H1087" s="1168">
        <v>900</v>
      </c>
    </row>
    <row r="1088" spans="1:8" ht="12.75">
      <c r="A1088" s="1822" t="s">
        <v>918</v>
      </c>
      <c r="B1088" s="379" t="s">
        <v>919</v>
      </c>
      <c r="C1088" s="1823" t="s">
        <v>2532</v>
      </c>
      <c r="D1088" s="379" t="s">
        <v>3423</v>
      </c>
      <c r="E1088" s="1168">
        <v>279000</v>
      </c>
      <c r="F1088" s="1168">
        <v>187000</v>
      </c>
      <c r="G1088" s="1168">
        <v>186996</v>
      </c>
      <c r="H1088" s="1168">
        <v>0</v>
      </c>
    </row>
    <row r="1089" spans="1:8" ht="12.75">
      <c r="A1089" s="1822" t="s">
        <v>920</v>
      </c>
      <c r="B1089" s="379" t="s">
        <v>921</v>
      </c>
      <c r="C1089" s="1823" t="s">
        <v>2532</v>
      </c>
      <c r="D1089" s="379" t="s">
        <v>3423</v>
      </c>
      <c r="E1089" s="1168">
        <v>190000</v>
      </c>
      <c r="F1089" s="1168">
        <v>92000</v>
      </c>
      <c r="G1089" s="1168">
        <v>91154</v>
      </c>
      <c r="H1089" s="1168">
        <v>0</v>
      </c>
    </row>
    <row r="1090" spans="1:8" ht="12.75">
      <c r="A1090" s="1822" t="s">
        <v>922</v>
      </c>
      <c r="B1090" s="379" t="s">
        <v>923</v>
      </c>
      <c r="C1090" s="1823" t="s">
        <v>2532</v>
      </c>
      <c r="D1090" s="379" t="s">
        <v>3423</v>
      </c>
      <c r="E1090" s="1168">
        <v>150000</v>
      </c>
      <c r="F1090" s="1168">
        <v>74000</v>
      </c>
      <c r="G1090" s="1168">
        <v>73780</v>
      </c>
      <c r="H1090" s="1168">
        <v>0</v>
      </c>
    </row>
    <row r="1091" spans="1:8" ht="12.75">
      <c r="A1091" s="1822" t="s">
        <v>924</v>
      </c>
      <c r="B1091" s="379" t="s">
        <v>925</v>
      </c>
      <c r="C1091" s="1823" t="s">
        <v>2532</v>
      </c>
      <c r="D1091" s="379" t="s">
        <v>3423</v>
      </c>
      <c r="E1091" s="1168">
        <v>105000</v>
      </c>
      <c r="F1091" s="1168">
        <v>63000</v>
      </c>
      <c r="G1091" s="1168">
        <v>62998</v>
      </c>
      <c r="H1091" s="1168">
        <v>0</v>
      </c>
    </row>
    <row r="1092" spans="1:8" ht="12.75">
      <c r="A1092" s="1822" t="s">
        <v>926</v>
      </c>
      <c r="B1092" s="379" t="s">
        <v>927</v>
      </c>
      <c r="C1092" s="1823" t="s">
        <v>2532</v>
      </c>
      <c r="D1092" s="379" t="s">
        <v>3423</v>
      </c>
      <c r="E1092" s="1168">
        <v>125000</v>
      </c>
      <c r="F1092" s="1168">
        <v>63000</v>
      </c>
      <c r="G1092" s="1168">
        <v>62998</v>
      </c>
      <c r="H1092" s="1168">
        <v>0</v>
      </c>
    </row>
    <row r="1093" spans="1:8" ht="12.75">
      <c r="A1093" s="1822" t="s">
        <v>928</v>
      </c>
      <c r="B1093" s="379" t="s">
        <v>929</v>
      </c>
      <c r="C1093" s="1823" t="s">
        <v>2532</v>
      </c>
      <c r="D1093" s="379" t="s">
        <v>3423</v>
      </c>
      <c r="E1093" s="1168">
        <v>125000</v>
      </c>
      <c r="F1093" s="1168">
        <v>98000</v>
      </c>
      <c r="G1093" s="1168">
        <v>97223</v>
      </c>
      <c r="H1093" s="1168">
        <v>0</v>
      </c>
    </row>
    <row r="1094" spans="1:8" ht="12.75">
      <c r="A1094" s="1822" t="s">
        <v>930</v>
      </c>
      <c r="B1094" s="379" t="s">
        <v>931</v>
      </c>
      <c r="C1094" s="1823" t="s">
        <v>2532</v>
      </c>
      <c r="D1094" s="379" t="s">
        <v>3423</v>
      </c>
      <c r="E1094" s="1168">
        <v>125000</v>
      </c>
      <c r="F1094" s="1168">
        <v>104000</v>
      </c>
      <c r="G1094" s="1168">
        <v>103292</v>
      </c>
      <c r="H1094" s="1168">
        <v>0</v>
      </c>
    </row>
    <row r="1095" spans="1:8" ht="12.75">
      <c r="A1095" s="1822" t="s">
        <v>932</v>
      </c>
      <c r="B1095" s="379" t="s">
        <v>933</v>
      </c>
      <c r="C1095" s="1823" t="s">
        <v>2532</v>
      </c>
      <c r="D1095" s="379" t="s">
        <v>3423</v>
      </c>
      <c r="E1095" s="1168">
        <v>111000</v>
      </c>
      <c r="F1095" s="1168">
        <v>68000</v>
      </c>
      <c r="G1095" s="1168">
        <v>67235</v>
      </c>
      <c r="H1095" s="1168">
        <v>0</v>
      </c>
    </row>
    <row r="1096" spans="1:8" ht="12.75">
      <c r="A1096" s="1822" t="s">
        <v>934</v>
      </c>
      <c r="B1096" s="379" t="s">
        <v>935</v>
      </c>
      <c r="C1096" s="1823" t="s">
        <v>2532</v>
      </c>
      <c r="D1096" s="379" t="s">
        <v>3423</v>
      </c>
      <c r="E1096" s="1168">
        <v>116000</v>
      </c>
      <c r="F1096" s="1168">
        <v>113000</v>
      </c>
      <c r="G1096" s="1168">
        <v>112574</v>
      </c>
      <c r="H1096" s="1168">
        <v>0</v>
      </c>
    </row>
    <row r="1097" spans="1:8" ht="12.75">
      <c r="A1097" s="1822">
        <v>2141194019</v>
      </c>
      <c r="B1097" s="379" t="s">
        <v>936</v>
      </c>
      <c r="C1097" s="1823" t="s">
        <v>2532</v>
      </c>
      <c r="D1097" s="379" t="s">
        <v>3423</v>
      </c>
      <c r="E1097" s="1168">
        <v>407000</v>
      </c>
      <c r="F1097" s="1168">
        <v>0</v>
      </c>
      <c r="G1097" s="1168">
        <v>0</v>
      </c>
      <c r="H1097" s="1168">
        <v>0</v>
      </c>
    </row>
    <row r="1098" spans="1:8" ht="12.75">
      <c r="A1098" s="1822" t="s">
        <v>937</v>
      </c>
      <c r="B1098" s="379" t="s">
        <v>938</v>
      </c>
      <c r="C1098" s="1823" t="s">
        <v>2532</v>
      </c>
      <c r="D1098" s="379" t="s">
        <v>3423</v>
      </c>
      <c r="E1098" s="1168">
        <v>173000</v>
      </c>
      <c r="F1098" s="1168">
        <v>116000</v>
      </c>
      <c r="G1098" s="1168">
        <v>115430</v>
      </c>
      <c r="H1098" s="1168">
        <v>0</v>
      </c>
    </row>
    <row r="1099" spans="1:8" ht="12.75">
      <c r="A1099" s="1822" t="s">
        <v>939</v>
      </c>
      <c r="B1099" s="379" t="s">
        <v>940</v>
      </c>
      <c r="C1099" s="1823" t="s">
        <v>2532</v>
      </c>
      <c r="D1099" s="379" t="s">
        <v>3423</v>
      </c>
      <c r="E1099" s="1168">
        <v>142000</v>
      </c>
      <c r="F1099" s="1168">
        <v>83000</v>
      </c>
      <c r="G1099" s="1168">
        <v>82467</v>
      </c>
      <c r="H1099" s="1168">
        <v>0</v>
      </c>
    </row>
    <row r="1100" spans="1:8" ht="12.75">
      <c r="A1100" s="1822" t="s">
        <v>941</v>
      </c>
      <c r="B1100" s="379" t="s">
        <v>942</v>
      </c>
      <c r="C1100" s="1823" t="s">
        <v>2541</v>
      </c>
      <c r="D1100" s="379" t="s">
        <v>3423</v>
      </c>
      <c r="E1100" s="1168">
        <v>190000</v>
      </c>
      <c r="F1100" s="1168">
        <v>47000</v>
      </c>
      <c r="G1100" s="1168">
        <v>46580</v>
      </c>
      <c r="H1100" s="1168">
        <v>420</v>
      </c>
    </row>
    <row r="1101" spans="1:8" ht="12.75">
      <c r="A1101" s="1822" t="s">
        <v>943</v>
      </c>
      <c r="B1101" s="379" t="s">
        <v>944</v>
      </c>
      <c r="C1101" s="1823" t="s">
        <v>2541</v>
      </c>
      <c r="D1101" s="379" t="s">
        <v>3423</v>
      </c>
      <c r="E1101" s="1168">
        <v>80000</v>
      </c>
      <c r="F1101" s="1168">
        <v>41000</v>
      </c>
      <c r="G1101" s="1168">
        <v>40060</v>
      </c>
      <c r="H1101" s="1168">
        <v>940</v>
      </c>
    </row>
    <row r="1102" spans="1:8" ht="12.75">
      <c r="A1102" s="1822">
        <v>2141194024</v>
      </c>
      <c r="B1102" s="379" t="s">
        <v>945</v>
      </c>
      <c r="C1102" s="1823" t="s">
        <v>2541</v>
      </c>
      <c r="D1102" s="379" t="s">
        <v>3423</v>
      </c>
      <c r="E1102" s="1168">
        <v>290000</v>
      </c>
      <c r="F1102" s="1168">
        <v>0</v>
      </c>
      <c r="G1102" s="1168">
        <v>0</v>
      </c>
      <c r="H1102" s="1168">
        <v>0</v>
      </c>
    </row>
    <row r="1103" spans="1:8" ht="12.75">
      <c r="A1103" s="1822" t="s">
        <v>946</v>
      </c>
      <c r="B1103" s="379" t="s">
        <v>947</v>
      </c>
      <c r="C1103" s="1823" t="s">
        <v>2541</v>
      </c>
      <c r="D1103" s="379" t="s">
        <v>3423</v>
      </c>
      <c r="E1103" s="1168">
        <v>185000</v>
      </c>
      <c r="F1103" s="1168">
        <v>43000</v>
      </c>
      <c r="G1103" s="1168">
        <v>42720</v>
      </c>
      <c r="H1103" s="1168">
        <v>280</v>
      </c>
    </row>
    <row r="1104" spans="1:8" ht="12.75">
      <c r="A1104" s="1822" t="s">
        <v>948</v>
      </c>
      <c r="B1104" s="379" t="s">
        <v>949</v>
      </c>
      <c r="C1104" s="1823" t="s">
        <v>2541</v>
      </c>
      <c r="D1104" s="379" t="s">
        <v>3423</v>
      </c>
      <c r="E1104" s="1168">
        <v>225000</v>
      </c>
      <c r="F1104" s="1168">
        <v>49000</v>
      </c>
      <c r="G1104" s="1168">
        <v>48646</v>
      </c>
      <c r="H1104" s="1168">
        <v>354</v>
      </c>
    </row>
    <row r="1105" spans="1:8" ht="12.75">
      <c r="A1105" s="1822" t="s">
        <v>950</v>
      </c>
      <c r="B1105" s="379" t="s">
        <v>951</v>
      </c>
      <c r="C1105" s="1823" t="s">
        <v>2541</v>
      </c>
      <c r="D1105" s="379" t="s">
        <v>3423</v>
      </c>
      <c r="E1105" s="1168">
        <v>190000</v>
      </c>
      <c r="F1105" s="1168">
        <v>30000</v>
      </c>
      <c r="G1105" s="1168">
        <v>29054</v>
      </c>
      <c r="H1105" s="1168">
        <v>946</v>
      </c>
    </row>
    <row r="1106" spans="1:8" ht="12.75">
      <c r="A1106" s="1822" t="s">
        <v>952</v>
      </c>
      <c r="B1106" s="379" t="s">
        <v>953</v>
      </c>
      <c r="C1106" s="1823" t="s">
        <v>2541</v>
      </c>
      <c r="D1106" s="379" t="s">
        <v>3422</v>
      </c>
      <c r="E1106" s="1168">
        <v>10192000</v>
      </c>
      <c r="F1106" s="1168">
        <v>2966000</v>
      </c>
      <c r="G1106" s="1168">
        <v>687280</v>
      </c>
      <c r="H1106" s="1168">
        <v>2278720</v>
      </c>
    </row>
    <row r="1107" spans="1:8" ht="12.75">
      <c r="A1107" s="1822" t="s">
        <v>954</v>
      </c>
      <c r="B1107" s="379" t="s">
        <v>955</v>
      </c>
      <c r="C1107" s="1823" t="s">
        <v>2541</v>
      </c>
      <c r="D1107" s="379" t="s">
        <v>3422</v>
      </c>
      <c r="E1107" s="1168">
        <v>500000</v>
      </c>
      <c r="F1107" s="1168">
        <v>2298000</v>
      </c>
      <c r="G1107" s="1168">
        <v>2296280</v>
      </c>
      <c r="H1107" s="1168">
        <v>1720</v>
      </c>
    </row>
    <row r="1108" spans="1:8" ht="12.75">
      <c r="A1108" s="1822" t="s">
        <v>956</v>
      </c>
      <c r="B1108" s="379" t="s">
        <v>957</v>
      </c>
      <c r="C1108" s="1823" t="s">
        <v>2541</v>
      </c>
      <c r="D1108" s="379" t="s">
        <v>3422</v>
      </c>
      <c r="E1108" s="1168">
        <v>967000</v>
      </c>
      <c r="F1108" s="1168">
        <v>2357000</v>
      </c>
      <c r="G1108" s="1168">
        <v>2314030</v>
      </c>
      <c r="H1108" s="1168">
        <v>42970</v>
      </c>
    </row>
    <row r="1109" spans="1:8" ht="12.75">
      <c r="A1109" s="1822" t="s">
        <v>958</v>
      </c>
      <c r="B1109" s="379" t="s">
        <v>959</v>
      </c>
      <c r="C1109" s="1823" t="s">
        <v>2541</v>
      </c>
      <c r="D1109" s="379" t="s">
        <v>3422</v>
      </c>
      <c r="E1109" s="1168">
        <v>596000</v>
      </c>
      <c r="F1109" s="1168">
        <v>682000</v>
      </c>
      <c r="G1109" s="1168">
        <v>681340</v>
      </c>
      <c r="H1109" s="1168">
        <v>660</v>
      </c>
    </row>
    <row r="1110" spans="1:8" ht="12.75">
      <c r="A1110" s="1822">
        <v>2141194032</v>
      </c>
      <c r="B1110" s="379" t="s">
        <v>960</v>
      </c>
      <c r="C1110" s="1823" t="s">
        <v>2176</v>
      </c>
      <c r="D1110" s="379" t="s">
        <v>3423</v>
      </c>
      <c r="E1110" s="1168">
        <v>100000</v>
      </c>
      <c r="F1110" s="1168">
        <v>0</v>
      </c>
      <c r="G1110" s="1168">
        <v>0</v>
      </c>
      <c r="H1110" s="1168">
        <v>0</v>
      </c>
    </row>
    <row r="1111" spans="1:8" ht="12.75">
      <c r="A1111" s="1822" t="s">
        <v>961</v>
      </c>
      <c r="B1111" s="379" t="s">
        <v>962</v>
      </c>
      <c r="C1111" s="1823" t="s">
        <v>2176</v>
      </c>
      <c r="D1111" s="379" t="s">
        <v>3423</v>
      </c>
      <c r="E1111" s="1168">
        <v>120000</v>
      </c>
      <c r="F1111" s="1168">
        <v>111000</v>
      </c>
      <c r="G1111" s="1168">
        <v>110491.5</v>
      </c>
      <c r="H1111" s="1168">
        <v>0</v>
      </c>
    </row>
    <row r="1112" spans="1:8" ht="12.75">
      <c r="A1112" s="1822" t="s">
        <v>963</v>
      </c>
      <c r="B1112" s="379" t="s">
        <v>964</v>
      </c>
      <c r="C1112" s="1823" t="s">
        <v>2176</v>
      </c>
      <c r="D1112" s="379" t="s">
        <v>3423</v>
      </c>
      <c r="E1112" s="1168">
        <v>100000</v>
      </c>
      <c r="F1112" s="1168">
        <v>95000</v>
      </c>
      <c r="G1112" s="1168">
        <v>94605</v>
      </c>
      <c r="H1112" s="1168">
        <v>0</v>
      </c>
    </row>
    <row r="1113" spans="1:8" ht="12.75">
      <c r="A1113" s="1822" t="s">
        <v>965</v>
      </c>
      <c r="B1113" s="379" t="s">
        <v>966</v>
      </c>
      <c r="C1113" s="1823" t="s">
        <v>2176</v>
      </c>
      <c r="D1113" s="379" t="s">
        <v>3423</v>
      </c>
      <c r="E1113" s="1168">
        <v>90000</v>
      </c>
      <c r="F1113" s="1168">
        <v>85000</v>
      </c>
      <c r="G1113" s="1168">
        <v>84371</v>
      </c>
      <c r="H1113" s="1168">
        <v>0</v>
      </c>
    </row>
    <row r="1114" spans="1:8" ht="12.75">
      <c r="A1114" s="1822" t="s">
        <v>967</v>
      </c>
      <c r="B1114" s="379" t="s">
        <v>968</v>
      </c>
      <c r="C1114" s="1823" t="s">
        <v>2176</v>
      </c>
      <c r="D1114" s="379" t="s">
        <v>3423</v>
      </c>
      <c r="E1114" s="1168">
        <v>110000</v>
      </c>
      <c r="F1114" s="1168">
        <v>79000</v>
      </c>
      <c r="G1114" s="1168">
        <v>78540</v>
      </c>
      <c r="H1114" s="1168">
        <v>0</v>
      </c>
    </row>
    <row r="1115" spans="1:8" ht="12.75">
      <c r="A1115" s="1822" t="s">
        <v>969</v>
      </c>
      <c r="B1115" s="379" t="s">
        <v>970</v>
      </c>
      <c r="C1115" s="1823" t="s">
        <v>2176</v>
      </c>
      <c r="D1115" s="379" t="s">
        <v>3423</v>
      </c>
      <c r="E1115" s="1168">
        <v>120000</v>
      </c>
      <c r="F1115" s="1168">
        <v>93000</v>
      </c>
      <c r="G1115" s="1168">
        <v>92820</v>
      </c>
      <c r="H1115" s="1168">
        <v>0</v>
      </c>
    </row>
    <row r="1116" spans="1:8" ht="12.75">
      <c r="A1116" s="1822" t="s">
        <v>971</v>
      </c>
      <c r="B1116" s="379" t="s">
        <v>972</v>
      </c>
      <c r="C1116" s="1823" t="s">
        <v>2176</v>
      </c>
      <c r="D1116" s="379" t="s">
        <v>3423</v>
      </c>
      <c r="E1116" s="1168">
        <v>90000</v>
      </c>
      <c r="F1116" s="1168">
        <v>116000</v>
      </c>
      <c r="G1116" s="1168">
        <v>115430</v>
      </c>
      <c r="H1116" s="1168">
        <v>0</v>
      </c>
    </row>
    <row r="1117" spans="1:8" ht="12.75">
      <c r="A1117" s="1822" t="s">
        <v>973</v>
      </c>
      <c r="B1117" s="379" t="s">
        <v>974</v>
      </c>
      <c r="C1117" s="1823" t="s">
        <v>2176</v>
      </c>
      <c r="D1117" s="379" t="s">
        <v>3423</v>
      </c>
      <c r="E1117" s="1168">
        <v>100000</v>
      </c>
      <c r="F1117" s="1168">
        <v>96000</v>
      </c>
      <c r="G1117" s="1168">
        <v>95081</v>
      </c>
      <c r="H1117" s="1168">
        <v>0</v>
      </c>
    </row>
    <row r="1118" spans="1:8" ht="12.75">
      <c r="A1118" s="1822" t="s">
        <v>975</v>
      </c>
      <c r="B1118" s="379" t="s">
        <v>976</v>
      </c>
      <c r="C1118" s="1823" t="s">
        <v>2176</v>
      </c>
      <c r="D1118" s="379" t="s">
        <v>3423</v>
      </c>
      <c r="E1118" s="1168">
        <v>100000</v>
      </c>
      <c r="F1118" s="1168">
        <v>102000</v>
      </c>
      <c r="G1118" s="1168">
        <v>101150</v>
      </c>
      <c r="H1118" s="1168">
        <v>0</v>
      </c>
    </row>
    <row r="1119" spans="1:8" ht="12.75">
      <c r="A1119" s="1822" t="s">
        <v>977</v>
      </c>
      <c r="B1119" s="379" t="s">
        <v>978</v>
      </c>
      <c r="C1119" s="1823" t="s">
        <v>2176</v>
      </c>
      <c r="D1119" s="379" t="s">
        <v>3422</v>
      </c>
      <c r="E1119" s="1168">
        <v>275000</v>
      </c>
      <c r="F1119" s="1168">
        <v>315000</v>
      </c>
      <c r="G1119" s="1168">
        <v>0</v>
      </c>
      <c r="H1119" s="1168">
        <v>315000</v>
      </c>
    </row>
    <row r="1120" spans="1:8" ht="12.75">
      <c r="A1120" s="1822" t="s">
        <v>979</v>
      </c>
      <c r="B1120" s="379" t="s">
        <v>980</v>
      </c>
      <c r="C1120" s="1823" t="s">
        <v>2176</v>
      </c>
      <c r="D1120" s="379" t="s">
        <v>3422</v>
      </c>
      <c r="E1120" s="1168">
        <v>150000</v>
      </c>
      <c r="F1120" s="1168">
        <v>150000</v>
      </c>
      <c r="G1120" s="1168">
        <v>0</v>
      </c>
      <c r="H1120" s="1168">
        <v>150000</v>
      </c>
    </row>
    <row r="1121" spans="1:8" ht="12.75">
      <c r="A1121" s="1822" t="s">
        <v>981</v>
      </c>
      <c r="B1121" s="379" t="s">
        <v>982</v>
      </c>
      <c r="C1121" s="1823" t="s">
        <v>2176</v>
      </c>
      <c r="D1121" s="379" t="s">
        <v>3422</v>
      </c>
      <c r="E1121" s="1168">
        <v>876000</v>
      </c>
      <c r="F1121" s="1168">
        <v>876000</v>
      </c>
      <c r="G1121" s="1168">
        <v>0</v>
      </c>
      <c r="H1121" s="1168">
        <v>876000</v>
      </c>
    </row>
    <row r="1122" spans="1:8" ht="12.75">
      <c r="A1122" s="1822" t="s">
        <v>983</v>
      </c>
      <c r="B1122" s="379" t="s">
        <v>984</v>
      </c>
      <c r="C1122" s="1823" t="s">
        <v>2176</v>
      </c>
      <c r="D1122" s="379" t="s">
        <v>3422</v>
      </c>
      <c r="E1122" s="1168">
        <v>710000</v>
      </c>
      <c r="F1122" s="1168">
        <v>710000</v>
      </c>
      <c r="G1122" s="1168">
        <v>0</v>
      </c>
      <c r="H1122" s="1168">
        <v>710000</v>
      </c>
    </row>
    <row r="1123" spans="1:8" ht="12.75">
      <c r="A1123" s="1822" t="s">
        <v>985</v>
      </c>
      <c r="B1123" s="379" t="s">
        <v>986</v>
      </c>
      <c r="C1123" s="1823" t="s">
        <v>2176</v>
      </c>
      <c r="D1123" s="379" t="s">
        <v>3422</v>
      </c>
      <c r="E1123" s="1168">
        <v>399000</v>
      </c>
      <c r="F1123" s="1168">
        <v>399000</v>
      </c>
      <c r="G1123" s="1168">
        <v>0</v>
      </c>
      <c r="H1123" s="1168">
        <v>399000</v>
      </c>
    </row>
    <row r="1124" spans="1:8" ht="12.75">
      <c r="A1124" s="1822" t="s">
        <v>987</v>
      </c>
      <c r="B1124" s="379" t="s">
        <v>988</v>
      </c>
      <c r="C1124" s="1823" t="s">
        <v>2176</v>
      </c>
      <c r="D1124" s="379" t="s">
        <v>3422</v>
      </c>
      <c r="E1124" s="1168">
        <v>1657000</v>
      </c>
      <c r="F1124" s="1168">
        <v>1657000</v>
      </c>
      <c r="G1124" s="1168">
        <v>0</v>
      </c>
      <c r="H1124" s="1168">
        <v>1657000</v>
      </c>
    </row>
    <row r="1125" spans="1:8" ht="12.75">
      <c r="A1125" s="1822" t="s">
        <v>989</v>
      </c>
      <c r="B1125" s="379" t="s">
        <v>990</v>
      </c>
      <c r="C1125" s="1823" t="s">
        <v>2176</v>
      </c>
      <c r="D1125" s="379" t="s">
        <v>3422</v>
      </c>
      <c r="E1125" s="1168">
        <v>1080000</v>
      </c>
      <c r="F1125" s="1168">
        <v>1080000</v>
      </c>
      <c r="G1125" s="1168">
        <v>0</v>
      </c>
      <c r="H1125" s="1168">
        <v>1080000</v>
      </c>
    </row>
    <row r="1126" spans="1:8" ht="12.75">
      <c r="A1126" s="1822" t="s">
        <v>991</v>
      </c>
      <c r="B1126" s="379" t="s">
        <v>992</v>
      </c>
      <c r="C1126" s="1823" t="s">
        <v>2184</v>
      </c>
      <c r="D1126" s="379" t="s">
        <v>3423</v>
      </c>
      <c r="E1126" s="1168">
        <v>137000</v>
      </c>
      <c r="F1126" s="1168">
        <v>130000</v>
      </c>
      <c r="G1126" s="1168">
        <v>129948</v>
      </c>
      <c r="H1126" s="1168">
        <v>52</v>
      </c>
    </row>
    <row r="1127" spans="1:8" ht="12.75">
      <c r="A1127" s="1822" t="s">
        <v>993</v>
      </c>
      <c r="B1127" s="379" t="s">
        <v>994</v>
      </c>
      <c r="C1127" s="1823" t="s">
        <v>2184</v>
      </c>
      <c r="D1127" s="379" t="s">
        <v>3423</v>
      </c>
      <c r="E1127" s="1168">
        <v>113000</v>
      </c>
      <c r="F1127" s="1168">
        <v>130000</v>
      </c>
      <c r="G1127" s="1168">
        <v>129948</v>
      </c>
      <c r="H1127" s="1168">
        <v>52</v>
      </c>
    </row>
    <row r="1128" spans="1:8" ht="12.75">
      <c r="A1128" s="1822" t="s">
        <v>995</v>
      </c>
      <c r="B1128" s="379" t="s">
        <v>996</v>
      </c>
      <c r="C1128" s="1823" t="s">
        <v>2184</v>
      </c>
      <c r="D1128" s="379" t="s">
        <v>3423</v>
      </c>
      <c r="E1128" s="1168">
        <v>132000</v>
      </c>
      <c r="F1128" s="1168">
        <v>132000</v>
      </c>
      <c r="G1128" s="1168">
        <v>131750</v>
      </c>
      <c r="H1128" s="1168">
        <v>250</v>
      </c>
    </row>
    <row r="1129" spans="1:8" ht="12.75">
      <c r="A1129" s="1822" t="s">
        <v>997</v>
      </c>
      <c r="B1129" s="379" t="s">
        <v>998</v>
      </c>
      <c r="C1129" s="1823" t="s">
        <v>2184</v>
      </c>
      <c r="D1129" s="379" t="s">
        <v>3423</v>
      </c>
      <c r="E1129" s="1168">
        <v>92000</v>
      </c>
      <c r="F1129" s="1168">
        <v>89000</v>
      </c>
      <c r="G1129" s="1168">
        <v>89000</v>
      </c>
      <c r="H1129" s="1168">
        <v>0</v>
      </c>
    </row>
    <row r="1130" spans="1:8" ht="12.75">
      <c r="A1130" s="1822" t="s">
        <v>999</v>
      </c>
      <c r="B1130" s="379" t="s">
        <v>1000</v>
      </c>
      <c r="C1130" s="1823" t="s">
        <v>2184</v>
      </c>
      <c r="D1130" s="379" t="s">
        <v>3423</v>
      </c>
      <c r="E1130" s="1168">
        <v>120000</v>
      </c>
      <c r="F1130" s="1168">
        <v>128000</v>
      </c>
      <c r="G1130" s="1168">
        <v>127500</v>
      </c>
      <c r="H1130" s="1168">
        <v>500</v>
      </c>
    </row>
    <row r="1131" spans="1:8" ht="12.75">
      <c r="A1131" s="1822" t="s">
        <v>1001</v>
      </c>
      <c r="B1131" s="379" t="s">
        <v>1002</v>
      </c>
      <c r="C1131" s="1823" t="s">
        <v>2184</v>
      </c>
      <c r="D1131" s="379" t="s">
        <v>3423</v>
      </c>
      <c r="E1131" s="1168">
        <v>85000</v>
      </c>
      <c r="F1131" s="1168">
        <v>90000</v>
      </c>
      <c r="G1131" s="1168">
        <v>90000</v>
      </c>
      <c r="H1131" s="1168">
        <v>0</v>
      </c>
    </row>
    <row r="1132" spans="1:8" ht="12.75">
      <c r="A1132" s="1822" t="s">
        <v>1003</v>
      </c>
      <c r="B1132" s="379" t="s">
        <v>1004</v>
      </c>
      <c r="C1132" s="1823" t="s">
        <v>2184</v>
      </c>
      <c r="D1132" s="379" t="s">
        <v>3423</v>
      </c>
      <c r="E1132" s="1168">
        <v>175000</v>
      </c>
      <c r="F1132" s="1168">
        <v>163000</v>
      </c>
      <c r="G1132" s="1168">
        <v>162435</v>
      </c>
      <c r="H1132" s="1168">
        <v>565</v>
      </c>
    </row>
    <row r="1133" spans="1:8" ht="12.75">
      <c r="A1133" s="1822" t="s">
        <v>1005</v>
      </c>
      <c r="B1133" s="379" t="s">
        <v>1006</v>
      </c>
      <c r="C1133" s="1823" t="s">
        <v>2184</v>
      </c>
      <c r="D1133" s="379" t="s">
        <v>3423</v>
      </c>
      <c r="E1133" s="1168">
        <v>100000</v>
      </c>
      <c r="F1133" s="1168">
        <v>98000</v>
      </c>
      <c r="G1133" s="1168">
        <v>98000</v>
      </c>
      <c r="H1133" s="1168">
        <v>0</v>
      </c>
    </row>
    <row r="1134" spans="1:8" ht="12.75">
      <c r="A1134" s="1822" t="s">
        <v>1007</v>
      </c>
      <c r="B1134" s="379" t="s">
        <v>1008</v>
      </c>
      <c r="C1134" s="1823" t="s">
        <v>2184</v>
      </c>
      <c r="D1134" s="379" t="s">
        <v>3423</v>
      </c>
      <c r="E1134" s="1168">
        <v>145000</v>
      </c>
      <c r="F1134" s="1168">
        <v>139000</v>
      </c>
      <c r="G1134" s="1168">
        <v>138278</v>
      </c>
      <c r="H1134" s="1168">
        <v>722</v>
      </c>
    </row>
    <row r="1135" spans="1:8" ht="12.75">
      <c r="A1135" s="1822" t="s">
        <v>1009</v>
      </c>
      <c r="B1135" s="379" t="s">
        <v>1010</v>
      </c>
      <c r="C1135" s="1823" t="s">
        <v>2184</v>
      </c>
      <c r="D1135" s="379" t="s">
        <v>3422</v>
      </c>
      <c r="E1135" s="1168">
        <v>184000</v>
      </c>
      <c r="F1135" s="1168">
        <v>55000</v>
      </c>
      <c r="G1135" s="1168">
        <v>54212</v>
      </c>
      <c r="H1135" s="1168">
        <v>788</v>
      </c>
    </row>
    <row r="1136" spans="1:8" ht="12.75">
      <c r="A1136" s="1822" t="s">
        <v>1011</v>
      </c>
      <c r="B1136" s="379" t="s">
        <v>1012</v>
      </c>
      <c r="C1136" s="1823" t="s">
        <v>2184</v>
      </c>
      <c r="D1136" s="379" t="s">
        <v>3422</v>
      </c>
      <c r="E1136" s="1168">
        <v>202000</v>
      </c>
      <c r="F1136" s="1168">
        <v>500000</v>
      </c>
      <c r="G1136" s="1168">
        <v>496424</v>
      </c>
      <c r="H1136" s="1168">
        <v>3576</v>
      </c>
    </row>
    <row r="1137" spans="1:8" ht="12.75">
      <c r="A1137" s="1822" t="s">
        <v>1013</v>
      </c>
      <c r="B1137" s="379" t="s">
        <v>1014</v>
      </c>
      <c r="C1137" s="1823" t="s">
        <v>2184</v>
      </c>
      <c r="D1137" s="379" t="s">
        <v>3422</v>
      </c>
      <c r="E1137" s="1168">
        <v>336000</v>
      </c>
      <c r="F1137" s="1168">
        <v>264000</v>
      </c>
      <c r="G1137" s="1168">
        <v>263347</v>
      </c>
      <c r="H1137" s="1168">
        <v>653</v>
      </c>
    </row>
    <row r="1138" spans="1:8" ht="12.75">
      <c r="A1138" s="1822" t="s">
        <v>1015</v>
      </c>
      <c r="B1138" s="379" t="s">
        <v>1016</v>
      </c>
      <c r="C1138" s="1823" t="s">
        <v>2184</v>
      </c>
      <c r="D1138" s="379" t="s">
        <v>3422</v>
      </c>
      <c r="E1138" s="1168">
        <v>1957000</v>
      </c>
      <c r="F1138" s="1168">
        <v>2491000</v>
      </c>
      <c r="G1138" s="1168">
        <v>1771405</v>
      </c>
      <c r="H1138" s="1168">
        <v>719595</v>
      </c>
    </row>
    <row r="1139" spans="1:8" ht="12.75">
      <c r="A1139" s="1822" t="s">
        <v>1017</v>
      </c>
      <c r="B1139" s="379" t="s">
        <v>1018</v>
      </c>
      <c r="C1139" s="1823" t="s">
        <v>2184</v>
      </c>
      <c r="D1139" s="379" t="s">
        <v>3422</v>
      </c>
      <c r="E1139" s="1168">
        <v>490000</v>
      </c>
      <c r="F1139" s="1168">
        <v>879000</v>
      </c>
      <c r="G1139" s="1168">
        <v>878635</v>
      </c>
      <c r="H1139" s="1168">
        <v>365</v>
      </c>
    </row>
    <row r="1140" spans="1:8" ht="12.75">
      <c r="A1140" s="1822" t="s">
        <v>1019</v>
      </c>
      <c r="B1140" s="379" t="s">
        <v>1020</v>
      </c>
      <c r="C1140" s="1823" t="s">
        <v>2184</v>
      </c>
      <c r="D1140" s="379" t="s">
        <v>3422</v>
      </c>
      <c r="E1140" s="1168">
        <v>166000</v>
      </c>
      <c r="F1140" s="1168">
        <v>573000</v>
      </c>
      <c r="G1140" s="1168">
        <v>571228</v>
      </c>
      <c r="H1140" s="1168">
        <v>1772</v>
      </c>
    </row>
    <row r="1141" spans="1:8" ht="12.75">
      <c r="A1141" s="1822">
        <v>2141194063</v>
      </c>
      <c r="B1141" s="379" t="s">
        <v>1021</v>
      </c>
      <c r="C1141" s="1823" t="s">
        <v>2184</v>
      </c>
      <c r="D1141" s="379" t="s">
        <v>3422</v>
      </c>
      <c r="E1141" s="1168">
        <v>185000</v>
      </c>
      <c r="F1141" s="1168">
        <v>0</v>
      </c>
      <c r="G1141" s="1168">
        <v>0</v>
      </c>
      <c r="H1141" s="1168">
        <v>0</v>
      </c>
    </row>
    <row r="1142" spans="1:8" ht="12.75">
      <c r="A1142" s="1822">
        <v>2141194064</v>
      </c>
      <c r="B1142" s="379" t="s">
        <v>1022</v>
      </c>
      <c r="C1142" s="1823" t="s">
        <v>2184</v>
      </c>
      <c r="D1142" s="379" t="s">
        <v>3422</v>
      </c>
      <c r="E1142" s="1168">
        <v>863000</v>
      </c>
      <c r="F1142" s="1168">
        <v>0</v>
      </c>
      <c r="G1142" s="1168">
        <v>0</v>
      </c>
      <c r="H1142" s="1168">
        <v>0</v>
      </c>
    </row>
    <row r="1143" spans="1:8" ht="12.75">
      <c r="A1143" s="1822" t="s">
        <v>1023</v>
      </c>
      <c r="B1143" s="379" t="s">
        <v>1024</v>
      </c>
      <c r="C1143" s="1823" t="s">
        <v>2184</v>
      </c>
      <c r="D1143" s="379" t="s">
        <v>3422</v>
      </c>
      <c r="E1143" s="1168">
        <v>553000</v>
      </c>
      <c r="F1143" s="1168">
        <v>34000</v>
      </c>
      <c r="G1143" s="1168">
        <v>33267.64</v>
      </c>
      <c r="H1143" s="1168">
        <v>732</v>
      </c>
    </row>
    <row r="1144" spans="1:8" ht="12.75">
      <c r="A1144" s="1822" t="s">
        <v>1025</v>
      </c>
      <c r="B1144" s="379" t="s">
        <v>1026</v>
      </c>
      <c r="C1144" s="1823" t="s">
        <v>2184</v>
      </c>
      <c r="D1144" s="379" t="s">
        <v>3422</v>
      </c>
      <c r="E1144" s="1168">
        <v>241000</v>
      </c>
      <c r="F1144" s="1168">
        <v>392000</v>
      </c>
      <c r="G1144" s="1168">
        <v>390160.2</v>
      </c>
      <c r="H1144" s="1168">
        <v>1839.8</v>
      </c>
    </row>
    <row r="1145" spans="1:8" ht="12.75">
      <c r="A1145" s="1822" t="s">
        <v>1027</v>
      </c>
      <c r="B1145" s="379" t="s">
        <v>1028</v>
      </c>
      <c r="C1145" s="1823" t="s">
        <v>2184</v>
      </c>
      <c r="D1145" s="379" t="s">
        <v>3422</v>
      </c>
      <c r="E1145" s="1168">
        <v>906000</v>
      </c>
      <c r="F1145" s="1168">
        <v>1829000</v>
      </c>
      <c r="G1145" s="1168">
        <v>1827685.1</v>
      </c>
      <c r="H1145" s="1168">
        <v>1314.7</v>
      </c>
    </row>
    <row r="1146" spans="1:8" ht="12.75">
      <c r="A1146" s="1822" t="s">
        <v>1029</v>
      </c>
      <c r="B1146" s="379" t="s">
        <v>1030</v>
      </c>
      <c r="C1146" s="1823" t="s">
        <v>2184</v>
      </c>
      <c r="D1146" s="379" t="s">
        <v>3422</v>
      </c>
      <c r="E1146" s="1168">
        <v>582000</v>
      </c>
      <c r="F1146" s="1168">
        <v>401000</v>
      </c>
      <c r="G1146" s="1168">
        <v>399738</v>
      </c>
      <c r="H1146" s="1168">
        <v>1262</v>
      </c>
    </row>
    <row r="1147" spans="1:8" ht="12.75">
      <c r="A1147" s="1822">
        <v>2141194069</v>
      </c>
      <c r="B1147" s="379" t="s">
        <v>1031</v>
      </c>
      <c r="C1147" s="1823" t="s">
        <v>2184</v>
      </c>
      <c r="D1147" s="379" t="s">
        <v>3422</v>
      </c>
      <c r="E1147" s="1168">
        <v>42000</v>
      </c>
      <c r="F1147" s="1168">
        <v>0</v>
      </c>
      <c r="G1147" s="1168">
        <v>0</v>
      </c>
      <c r="H1147" s="1168">
        <v>0</v>
      </c>
    </row>
    <row r="1148" spans="1:8" ht="12.75">
      <c r="A1148" s="1822">
        <v>2141194070</v>
      </c>
      <c r="B1148" s="379" t="s">
        <v>1032</v>
      </c>
      <c r="C1148" s="1823" t="s">
        <v>2184</v>
      </c>
      <c r="D1148" s="379" t="s">
        <v>3422</v>
      </c>
      <c r="E1148" s="1168">
        <v>54000</v>
      </c>
      <c r="F1148" s="1168">
        <v>0</v>
      </c>
      <c r="G1148" s="1168">
        <v>0</v>
      </c>
      <c r="H1148" s="1168">
        <v>0</v>
      </c>
    </row>
    <row r="1149" spans="1:8" ht="12.75">
      <c r="A1149" s="1822" t="s">
        <v>1033</v>
      </c>
      <c r="B1149" s="379" t="s">
        <v>1034</v>
      </c>
      <c r="C1149" s="1823" t="s">
        <v>2184</v>
      </c>
      <c r="D1149" s="379" t="s">
        <v>3422</v>
      </c>
      <c r="E1149" s="1168">
        <v>200000</v>
      </c>
      <c r="F1149" s="1168">
        <v>72000</v>
      </c>
      <c r="G1149" s="1168">
        <v>70602.5</v>
      </c>
      <c r="H1149" s="1168">
        <v>1397.5</v>
      </c>
    </row>
    <row r="1150" spans="1:8" ht="12.75">
      <c r="A1150" s="1822">
        <v>2141194072</v>
      </c>
      <c r="B1150" s="379" t="s">
        <v>1035</v>
      </c>
      <c r="C1150" s="1823" t="s">
        <v>2184</v>
      </c>
      <c r="D1150" s="379" t="s">
        <v>3422</v>
      </c>
      <c r="E1150" s="1168">
        <v>65000</v>
      </c>
      <c r="F1150" s="1168">
        <v>0</v>
      </c>
      <c r="G1150" s="1168">
        <v>0</v>
      </c>
      <c r="H1150" s="1168">
        <v>0</v>
      </c>
    </row>
    <row r="1151" spans="1:8" ht="12.75">
      <c r="A1151" s="1822">
        <v>2141194073</v>
      </c>
      <c r="B1151" s="379" t="s">
        <v>1036</v>
      </c>
      <c r="C1151" s="1823" t="s">
        <v>2184</v>
      </c>
      <c r="D1151" s="379" t="s">
        <v>3422</v>
      </c>
      <c r="E1151" s="1168">
        <v>492000</v>
      </c>
      <c r="F1151" s="1168">
        <v>0</v>
      </c>
      <c r="G1151" s="1168">
        <v>0</v>
      </c>
      <c r="H1151" s="1168">
        <v>0</v>
      </c>
    </row>
    <row r="1152" spans="1:8" ht="12.75">
      <c r="A1152" s="1822" t="s">
        <v>1037</v>
      </c>
      <c r="B1152" s="379" t="s">
        <v>1038</v>
      </c>
      <c r="C1152" s="1823" t="s">
        <v>2184</v>
      </c>
      <c r="D1152" s="379" t="s">
        <v>3422</v>
      </c>
      <c r="E1152" s="1168">
        <v>387000</v>
      </c>
      <c r="F1152" s="1168">
        <v>336000</v>
      </c>
      <c r="G1152" s="1168">
        <v>334610</v>
      </c>
      <c r="H1152" s="1168">
        <v>1390</v>
      </c>
    </row>
    <row r="1153" spans="1:8" ht="12.75">
      <c r="A1153" s="1822">
        <v>2141194075</v>
      </c>
      <c r="B1153" s="379" t="s">
        <v>1039</v>
      </c>
      <c r="C1153" s="1823" t="s">
        <v>2184</v>
      </c>
      <c r="D1153" s="379" t="s">
        <v>3422</v>
      </c>
      <c r="E1153" s="1168">
        <v>784000</v>
      </c>
      <c r="F1153" s="1168">
        <v>0</v>
      </c>
      <c r="G1153" s="1168">
        <v>0</v>
      </c>
      <c r="H1153" s="1168">
        <v>0</v>
      </c>
    </row>
    <row r="1154" spans="1:8" ht="12.75">
      <c r="A1154" s="1822" t="s">
        <v>1040</v>
      </c>
      <c r="B1154" s="379" t="s">
        <v>1041</v>
      </c>
      <c r="C1154" s="1823" t="s">
        <v>2235</v>
      </c>
      <c r="D1154" s="379" t="s">
        <v>3423</v>
      </c>
      <c r="E1154" s="1168">
        <v>103000</v>
      </c>
      <c r="F1154" s="1168">
        <v>60000</v>
      </c>
      <c r="G1154" s="1168">
        <v>59024</v>
      </c>
      <c r="H1154" s="1168">
        <v>976</v>
      </c>
    </row>
    <row r="1155" spans="1:8" ht="12.75">
      <c r="A1155" s="1822" t="s">
        <v>1042</v>
      </c>
      <c r="B1155" s="379" t="s">
        <v>1043</v>
      </c>
      <c r="C1155" s="1823" t="s">
        <v>2235</v>
      </c>
      <c r="D1155" s="379" t="s">
        <v>3423</v>
      </c>
      <c r="E1155" s="1168">
        <v>116000</v>
      </c>
      <c r="F1155" s="1168">
        <v>67000</v>
      </c>
      <c r="G1155" s="1168">
        <v>66045</v>
      </c>
      <c r="H1155" s="1168">
        <v>955</v>
      </c>
    </row>
    <row r="1156" spans="1:8" ht="12.75">
      <c r="A1156" s="1822" t="s">
        <v>1044</v>
      </c>
      <c r="B1156" s="379" t="s">
        <v>1045</v>
      </c>
      <c r="C1156" s="1823" t="s">
        <v>2235</v>
      </c>
      <c r="D1156" s="379" t="s">
        <v>3423</v>
      </c>
      <c r="E1156" s="1168">
        <v>105000</v>
      </c>
      <c r="F1156" s="1168">
        <v>75000</v>
      </c>
      <c r="G1156" s="1168">
        <v>74970</v>
      </c>
      <c r="H1156" s="1168">
        <v>30</v>
      </c>
    </row>
    <row r="1157" spans="1:8" ht="12.75">
      <c r="A1157" s="1822" t="s">
        <v>1046</v>
      </c>
      <c r="B1157" s="379" t="s">
        <v>1047</v>
      </c>
      <c r="C1157" s="1823" t="s">
        <v>2235</v>
      </c>
      <c r="D1157" s="379" t="s">
        <v>3423</v>
      </c>
      <c r="E1157" s="1168">
        <v>290000</v>
      </c>
      <c r="F1157" s="1168">
        <v>99000</v>
      </c>
      <c r="G1157" s="1168">
        <v>99000</v>
      </c>
      <c r="H1157" s="1168">
        <v>0</v>
      </c>
    </row>
    <row r="1158" spans="1:8" ht="12.75">
      <c r="A1158" s="1822">
        <v>2141194080</v>
      </c>
      <c r="B1158" s="379" t="s">
        <v>1048</v>
      </c>
      <c r="C1158" s="1823" t="s">
        <v>2235</v>
      </c>
      <c r="D1158" s="379" t="s">
        <v>3423</v>
      </c>
      <c r="E1158" s="1168">
        <v>95000</v>
      </c>
      <c r="F1158" s="1168">
        <v>0</v>
      </c>
      <c r="G1158" s="1168">
        <v>0</v>
      </c>
      <c r="H1158" s="1168">
        <v>0</v>
      </c>
    </row>
    <row r="1159" spans="1:8" ht="12.75">
      <c r="A1159" s="1822" t="s">
        <v>1049</v>
      </c>
      <c r="B1159" s="379" t="s">
        <v>1050</v>
      </c>
      <c r="C1159" s="1823" t="s">
        <v>2235</v>
      </c>
      <c r="D1159" s="379" t="s">
        <v>3423</v>
      </c>
      <c r="E1159" s="1168">
        <v>127000</v>
      </c>
      <c r="F1159" s="1168">
        <v>70000</v>
      </c>
      <c r="G1159" s="1168">
        <v>70000</v>
      </c>
      <c r="H1159" s="1168">
        <v>0</v>
      </c>
    </row>
    <row r="1160" spans="1:8" ht="12.75">
      <c r="A1160" s="1822">
        <v>2141194082</v>
      </c>
      <c r="B1160" s="379" t="s">
        <v>1051</v>
      </c>
      <c r="C1160" s="1823" t="s">
        <v>2235</v>
      </c>
      <c r="D1160" s="379" t="s">
        <v>3423</v>
      </c>
      <c r="E1160" s="1168">
        <v>105000</v>
      </c>
      <c r="F1160" s="1168">
        <v>0</v>
      </c>
      <c r="G1160" s="1168">
        <v>0</v>
      </c>
      <c r="H1160" s="1168">
        <v>0</v>
      </c>
    </row>
    <row r="1161" spans="1:8" ht="12.75">
      <c r="A1161" s="1822" t="s">
        <v>1052</v>
      </c>
      <c r="B1161" s="379" t="s">
        <v>1053</v>
      </c>
      <c r="C1161" s="1823" t="s">
        <v>2235</v>
      </c>
      <c r="D1161" s="379" t="s">
        <v>3423</v>
      </c>
      <c r="E1161" s="1168">
        <v>110000</v>
      </c>
      <c r="F1161" s="1168">
        <v>62000</v>
      </c>
      <c r="G1161" s="1168">
        <v>62000</v>
      </c>
      <c r="H1161" s="1168">
        <v>0</v>
      </c>
    </row>
    <row r="1162" spans="1:8" ht="12.75">
      <c r="A1162" s="1822" t="s">
        <v>1054</v>
      </c>
      <c r="B1162" s="379" t="s">
        <v>1055</v>
      </c>
      <c r="C1162" s="1823" t="s">
        <v>2235</v>
      </c>
      <c r="D1162" s="379" t="s">
        <v>3423</v>
      </c>
      <c r="E1162" s="1168">
        <v>100000</v>
      </c>
      <c r="F1162" s="1168">
        <v>55000</v>
      </c>
      <c r="G1162" s="1168">
        <v>55000</v>
      </c>
      <c r="H1162" s="1168">
        <v>0</v>
      </c>
    </row>
    <row r="1163" spans="1:8" ht="12.75">
      <c r="A1163" s="1822" t="s">
        <v>1056</v>
      </c>
      <c r="B1163" s="379" t="s">
        <v>1057</v>
      </c>
      <c r="C1163" s="1823" t="s">
        <v>2235</v>
      </c>
      <c r="D1163" s="379" t="s">
        <v>3423</v>
      </c>
      <c r="E1163" s="1168">
        <v>105000</v>
      </c>
      <c r="F1163" s="1168">
        <v>55000</v>
      </c>
      <c r="G1163" s="1168">
        <v>55000</v>
      </c>
      <c r="H1163" s="1168">
        <v>0</v>
      </c>
    </row>
    <row r="1164" spans="1:8" ht="12.75">
      <c r="A1164" s="1822" t="s">
        <v>1058</v>
      </c>
      <c r="B1164" s="379" t="s">
        <v>1059</v>
      </c>
      <c r="C1164" s="1823" t="s">
        <v>2235</v>
      </c>
      <c r="D1164" s="379" t="s">
        <v>3423</v>
      </c>
      <c r="E1164" s="1168">
        <v>120000</v>
      </c>
      <c r="F1164" s="1168">
        <v>71000</v>
      </c>
      <c r="G1164" s="1168">
        <v>70210</v>
      </c>
      <c r="H1164" s="1168">
        <v>790</v>
      </c>
    </row>
    <row r="1165" spans="1:8" ht="12.75">
      <c r="A1165" s="1822" t="s">
        <v>1060</v>
      </c>
      <c r="B1165" s="379" t="s">
        <v>1061</v>
      </c>
      <c r="C1165" s="1823" t="s">
        <v>2235</v>
      </c>
      <c r="D1165" s="379" t="s">
        <v>3423</v>
      </c>
      <c r="E1165" s="1168">
        <v>180000</v>
      </c>
      <c r="F1165" s="1168">
        <v>112000</v>
      </c>
      <c r="G1165" s="1168">
        <v>111860</v>
      </c>
      <c r="H1165" s="1168">
        <v>140</v>
      </c>
    </row>
    <row r="1166" spans="1:8" ht="12.75">
      <c r="A1166" s="1822" t="s">
        <v>1062</v>
      </c>
      <c r="B1166" s="379" t="s">
        <v>1063</v>
      </c>
      <c r="C1166" s="1823" t="s">
        <v>2235</v>
      </c>
      <c r="D1166" s="379" t="s">
        <v>3423</v>
      </c>
      <c r="E1166" s="1168">
        <v>100000</v>
      </c>
      <c r="F1166" s="1168">
        <v>56000</v>
      </c>
      <c r="G1166" s="1168">
        <v>55692</v>
      </c>
      <c r="H1166" s="1168">
        <v>308</v>
      </c>
    </row>
    <row r="1167" spans="1:8" ht="12.75">
      <c r="A1167" s="1822">
        <v>2141194089</v>
      </c>
      <c r="B1167" s="379" t="s">
        <v>1064</v>
      </c>
      <c r="C1167" s="1823" t="s">
        <v>2235</v>
      </c>
      <c r="D1167" s="379" t="s">
        <v>3423</v>
      </c>
      <c r="E1167" s="1168">
        <v>91000</v>
      </c>
      <c r="F1167" s="1168">
        <v>0</v>
      </c>
      <c r="G1167" s="1168">
        <v>0</v>
      </c>
      <c r="H1167" s="1168">
        <v>0</v>
      </c>
    </row>
    <row r="1168" spans="1:8" ht="12.75">
      <c r="A1168" s="1822" t="s">
        <v>1065</v>
      </c>
      <c r="B1168" s="379" t="s">
        <v>1066</v>
      </c>
      <c r="C1168" s="1823" t="s">
        <v>2235</v>
      </c>
      <c r="D1168" s="379" t="s">
        <v>3422</v>
      </c>
      <c r="E1168" s="1168">
        <v>1785000</v>
      </c>
      <c r="F1168" s="1168">
        <v>1604000</v>
      </c>
      <c r="G1168" s="1168">
        <v>111860</v>
      </c>
      <c r="H1168" s="1168">
        <v>1492140</v>
      </c>
    </row>
    <row r="1169" spans="1:8" ht="12.75">
      <c r="A1169" s="1822" t="s">
        <v>1067</v>
      </c>
      <c r="B1169" s="379" t="s">
        <v>1068</v>
      </c>
      <c r="C1169" s="1823" t="s">
        <v>2235</v>
      </c>
      <c r="D1169" s="379" t="s">
        <v>3422</v>
      </c>
      <c r="E1169" s="1168">
        <v>1280000</v>
      </c>
      <c r="F1169" s="1168">
        <v>1061000</v>
      </c>
      <c r="G1169" s="1168">
        <v>1059540</v>
      </c>
      <c r="H1169" s="1168">
        <v>1460</v>
      </c>
    </row>
    <row r="1170" spans="1:8" ht="12.75">
      <c r="A1170" s="1822" t="s">
        <v>1069</v>
      </c>
      <c r="B1170" s="379" t="s">
        <v>1070</v>
      </c>
      <c r="C1170" s="1823" t="s">
        <v>2235</v>
      </c>
      <c r="D1170" s="379" t="s">
        <v>3422</v>
      </c>
      <c r="E1170" s="1168">
        <v>68000</v>
      </c>
      <c r="F1170" s="1168">
        <v>220000</v>
      </c>
      <c r="G1170" s="1168">
        <v>218970</v>
      </c>
      <c r="H1170" s="1168">
        <v>1030</v>
      </c>
    </row>
    <row r="1171" spans="1:8" ht="12.75">
      <c r="A1171" s="1822" t="s">
        <v>1071</v>
      </c>
      <c r="B1171" s="379" t="s">
        <v>1072</v>
      </c>
      <c r="C1171" s="1823" t="s">
        <v>2235</v>
      </c>
      <c r="D1171" s="379" t="s">
        <v>3422</v>
      </c>
      <c r="E1171" s="1168">
        <v>210000</v>
      </c>
      <c r="F1171" s="1168">
        <v>239000</v>
      </c>
      <c r="G1171" s="1168">
        <v>238646</v>
      </c>
      <c r="H1171" s="1168">
        <v>354</v>
      </c>
    </row>
    <row r="1172" spans="1:8" ht="12.75">
      <c r="A1172" s="1822" t="s">
        <v>1073</v>
      </c>
      <c r="B1172" s="379" t="s">
        <v>1074</v>
      </c>
      <c r="C1172" s="1823" t="s">
        <v>2235</v>
      </c>
      <c r="D1172" s="379" t="s">
        <v>3422</v>
      </c>
      <c r="E1172" s="1168">
        <v>11304000</v>
      </c>
      <c r="F1172" s="1168">
        <v>11523000</v>
      </c>
      <c r="G1172" s="1168">
        <v>1297500</v>
      </c>
      <c r="H1172" s="1168">
        <v>10225500</v>
      </c>
    </row>
    <row r="1173" spans="1:8" ht="12.75">
      <c r="A1173" s="1822" t="s">
        <v>1075</v>
      </c>
      <c r="B1173" s="379" t="s">
        <v>1076</v>
      </c>
      <c r="C1173" s="1823" t="s">
        <v>2532</v>
      </c>
      <c r="D1173" s="379" t="s">
        <v>3422</v>
      </c>
      <c r="E1173" s="1168">
        <v>13500000</v>
      </c>
      <c r="F1173" s="1168">
        <v>9778000</v>
      </c>
      <c r="G1173" s="1168">
        <v>848755.7</v>
      </c>
      <c r="H1173" s="1168">
        <v>8929000</v>
      </c>
    </row>
    <row r="1174" spans="1:8" ht="12.75">
      <c r="A1174" s="1822" t="s">
        <v>1077</v>
      </c>
      <c r="B1174" s="379" t="s">
        <v>1078</v>
      </c>
      <c r="C1174" s="1823" t="s">
        <v>2561</v>
      </c>
      <c r="D1174" s="379" t="s">
        <v>3422</v>
      </c>
      <c r="E1174" s="1168">
        <v>1773000</v>
      </c>
      <c r="F1174" s="1168">
        <v>2070000</v>
      </c>
      <c r="G1174" s="1168">
        <v>171360</v>
      </c>
      <c r="H1174" s="1168">
        <v>1898640</v>
      </c>
    </row>
    <row r="1175" spans="1:8" ht="12.75">
      <c r="A1175" s="1822" t="s">
        <v>1079</v>
      </c>
      <c r="B1175" s="379" t="s">
        <v>1080</v>
      </c>
      <c r="C1175" s="1823" t="s">
        <v>2561</v>
      </c>
      <c r="D1175" s="379" t="s">
        <v>3422</v>
      </c>
      <c r="E1175" s="1168">
        <v>7824000</v>
      </c>
      <c r="F1175" s="1168">
        <v>7824000</v>
      </c>
      <c r="G1175" s="1168">
        <v>531692</v>
      </c>
      <c r="H1175" s="1168">
        <v>7292308</v>
      </c>
    </row>
    <row r="1176" spans="1:8" ht="12.75">
      <c r="A1176" s="1822" t="s">
        <v>1081</v>
      </c>
      <c r="B1176" s="379" t="s">
        <v>1082</v>
      </c>
      <c r="C1176" s="1823" t="s">
        <v>2561</v>
      </c>
      <c r="D1176" s="379" t="s">
        <v>3422</v>
      </c>
      <c r="E1176" s="1168">
        <v>2500000</v>
      </c>
      <c r="F1176" s="1168">
        <v>2276000</v>
      </c>
      <c r="G1176" s="1168">
        <v>2275112</v>
      </c>
      <c r="H1176" s="1168">
        <v>888</v>
      </c>
    </row>
    <row r="1177" spans="1:8" ht="12.75">
      <c r="A1177" s="1822" t="s">
        <v>1083</v>
      </c>
      <c r="B1177" s="379" t="s">
        <v>1084</v>
      </c>
      <c r="C1177" s="1823" t="s">
        <v>2193</v>
      </c>
      <c r="D1177" s="379" t="s">
        <v>3423</v>
      </c>
      <c r="E1177" s="1168">
        <v>191000</v>
      </c>
      <c r="F1177" s="1168">
        <v>152000</v>
      </c>
      <c r="G1177" s="1168">
        <v>151531</v>
      </c>
      <c r="H1177" s="1168">
        <v>460</v>
      </c>
    </row>
    <row r="1178" spans="1:8" ht="12.75">
      <c r="A1178" s="1822" t="s">
        <v>1085</v>
      </c>
      <c r="B1178" s="379" t="s">
        <v>1086</v>
      </c>
      <c r="C1178" s="1823" t="s">
        <v>2193</v>
      </c>
      <c r="D1178" s="379" t="s">
        <v>3423</v>
      </c>
      <c r="E1178" s="1168">
        <v>91000</v>
      </c>
      <c r="F1178" s="1168">
        <v>77000</v>
      </c>
      <c r="G1178" s="1168">
        <v>76160</v>
      </c>
      <c r="H1178" s="1168">
        <v>840</v>
      </c>
    </row>
    <row r="1179" spans="1:8" ht="12.75">
      <c r="A1179" s="1822" t="s">
        <v>1087</v>
      </c>
      <c r="B1179" s="379" t="s">
        <v>1088</v>
      </c>
      <c r="C1179" s="1823" t="s">
        <v>2193</v>
      </c>
      <c r="D1179" s="379" t="s">
        <v>3423</v>
      </c>
      <c r="E1179" s="1168">
        <v>134000</v>
      </c>
      <c r="F1179" s="1168">
        <v>127000</v>
      </c>
      <c r="G1179" s="1168">
        <v>126735</v>
      </c>
      <c r="H1179" s="1168">
        <v>260</v>
      </c>
    </row>
    <row r="1180" spans="1:8" ht="12.75">
      <c r="A1180" s="1822" t="s">
        <v>1089</v>
      </c>
      <c r="B1180" s="379" t="s">
        <v>1090</v>
      </c>
      <c r="C1180" s="1823" t="s">
        <v>2193</v>
      </c>
      <c r="D1180" s="379" t="s">
        <v>3423</v>
      </c>
      <c r="E1180" s="1168">
        <v>97000</v>
      </c>
      <c r="F1180" s="1168">
        <v>73000</v>
      </c>
      <c r="G1180" s="1168">
        <v>72704</v>
      </c>
      <c r="H1180" s="1168">
        <v>290</v>
      </c>
    </row>
    <row r="1181" spans="1:8" ht="12.75">
      <c r="A1181" s="1822" t="s">
        <v>1091</v>
      </c>
      <c r="B1181" s="379" t="s">
        <v>1092</v>
      </c>
      <c r="C1181" s="1823" t="s">
        <v>2193</v>
      </c>
      <c r="D1181" s="379" t="s">
        <v>3423</v>
      </c>
      <c r="E1181" s="1168">
        <v>128000</v>
      </c>
      <c r="F1181" s="1168">
        <v>69000</v>
      </c>
      <c r="G1181" s="1168">
        <v>68877</v>
      </c>
      <c r="H1181" s="1168">
        <v>120</v>
      </c>
    </row>
    <row r="1182" spans="1:8" ht="12.75">
      <c r="A1182" s="1822" t="s">
        <v>1093</v>
      </c>
      <c r="B1182" s="379" t="s">
        <v>1094</v>
      </c>
      <c r="C1182" s="1823" t="s">
        <v>2193</v>
      </c>
      <c r="D1182" s="379" t="s">
        <v>3423</v>
      </c>
      <c r="E1182" s="1168">
        <v>129000</v>
      </c>
      <c r="F1182" s="1168">
        <v>81000</v>
      </c>
      <c r="G1182" s="1168">
        <v>80357</v>
      </c>
      <c r="H1182" s="1168">
        <v>640</v>
      </c>
    </row>
    <row r="1183" spans="1:8" ht="12.75">
      <c r="A1183" s="1822" t="s">
        <v>1095</v>
      </c>
      <c r="B1183" s="379" t="s">
        <v>1096</v>
      </c>
      <c r="C1183" s="1823" t="s">
        <v>2193</v>
      </c>
      <c r="D1183" s="379" t="s">
        <v>3423</v>
      </c>
      <c r="E1183" s="1168">
        <v>165000</v>
      </c>
      <c r="F1183" s="1168">
        <v>138000</v>
      </c>
      <c r="G1183" s="1168">
        <v>137755.5</v>
      </c>
      <c r="H1183" s="1168">
        <v>240</v>
      </c>
    </row>
    <row r="1184" spans="1:8" ht="12.75">
      <c r="A1184" s="1822" t="s">
        <v>1097</v>
      </c>
      <c r="B1184" s="379" t="s">
        <v>1098</v>
      </c>
      <c r="C1184" s="1823" t="s">
        <v>2193</v>
      </c>
      <c r="D1184" s="379" t="s">
        <v>3423</v>
      </c>
      <c r="E1184" s="1168">
        <v>158000</v>
      </c>
      <c r="F1184" s="1168">
        <v>92000</v>
      </c>
      <c r="G1184" s="1168">
        <v>91837</v>
      </c>
      <c r="H1184" s="1168">
        <v>160</v>
      </c>
    </row>
    <row r="1185" spans="1:8" ht="12.75">
      <c r="A1185" s="1822" t="s">
        <v>1099</v>
      </c>
      <c r="B1185" s="379" t="s">
        <v>1100</v>
      </c>
      <c r="C1185" s="1823" t="s">
        <v>2193</v>
      </c>
      <c r="D1185" s="379" t="s">
        <v>3423</v>
      </c>
      <c r="E1185" s="1168">
        <v>154000</v>
      </c>
      <c r="F1185" s="1168">
        <v>152000</v>
      </c>
      <c r="G1185" s="1168">
        <v>151130</v>
      </c>
      <c r="H1185" s="1168">
        <v>800</v>
      </c>
    </row>
    <row r="1186" spans="1:8" ht="12.75">
      <c r="A1186" s="1822" t="s">
        <v>1101</v>
      </c>
      <c r="B1186" s="379" t="s">
        <v>1102</v>
      </c>
      <c r="C1186" s="1823" t="s">
        <v>2193</v>
      </c>
      <c r="D1186" s="379" t="s">
        <v>3423</v>
      </c>
      <c r="E1186" s="1168">
        <v>180000</v>
      </c>
      <c r="F1186" s="1168">
        <v>174000</v>
      </c>
      <c r="G1186" s="1168">
        <v>173432</v>
      </c>
      <c r="H1186" s="1168">
        <v>500</v>
      </c>
    </row>
    <row r="1187" spans="1:8" ht="12.75">
      <c r="A1187" s="1822" t="s">
        <v>1103</v>
      </c>
      <c r="B1187" s="379" t="s">
        <v>1104</v>
      </c>
      <c r="C1187" s="1823" t="s">
        <v>2193</v>
      </c>
      <c r="D1187" s="379" t="s">
        <v>3423</v>
      </c>
      <c r="E1187" s="1168">
        <v>166000</v>
      </c>
      <c r="F1187" s="1168">
        <v>106000</v>
      </c>
      <c r="G1187" s="1168">
        <v>105741</v>
      </c>
      <c r="H1187" s="1168">
        <v>200</v>
      </c>
    </row>
    <row r="1188" spans="1:8" ht="12.75">
      <c r="A1188" s="1822">
        <v>2141194110</v>
      </c>
      <c r="B1188" s="379" t="s">
        <v>1105</v>
      </c>
      <c r="C1188" s="1823" t="s">
        <v>2193</v>
      </c>
      <c r="D1188" s="379" t="s">
        <v>3423</v>
      </c>
      <c r="E1188" s="1168">
        <v>207000</v>
      </c>
      <c r="F1188" s="1168">
        <v>0</v>
      </c>
      <c r="G1188" s="1168">
        <v>0</v>
      </c>
      <c r="H1188" s="1168">
        <v>0</v>
      </c>
    </row>
    <row r="1189" spans="1:8" ht="12.75">
      <c r="A1189" s="1822" t="s">
        <v>1106</v>
      </c>
      <c r="B1189" s="379" t="s">
        <v>1107</v>
      </c>
      <c r="C1189" s="1823" t="s">
        <v>2193</v>
      </c>
      <c r="D1189" s="379" t="s">
        <v>3423</v>
      </c>
      <c r="E1189" s="1168">
        <v>225000</v>
      </c>
      <c r="F1189" s="1168">
        <v>196000</v>
      </c>
      <c r="G1189" s="1168">
        <v>195663</v>
      </c>
      <c r="H1189" s="1168">
        <v>300</v>
      </c>
    </row>
    <row r="1190" spans="1:8" ht="12.75">
      <c r="A1190" s="1822" t="s">
        <v>1108</v>
      </c>
      <c r="B1190" s="379" t="s">
        <v>1109</v>
      </c>
      <c r="C1190" s="1823" t="s">
        <v>2193</v>
      </c>
      <c r="D1190" s="379" t="s">
        <v>3422</v>
      </c>
      <c r="E1190" s="1168">
        <v>8300000</v>
      </c>
      <c r="F1190" s="1168">
        <v>5967000</v>
      </c>
      <c r="G1190" s="1168">
        <v>0</v>
      </c>
      <c r="H1190" s="1168">
        <v>5967000</v>
      </c>
    </row>
    <row r="1191" spans="1:8" ht="12.75">
      <c r="A1191" s="1822" t="s">
        <v>1110</v>
      </c>
      <c r="B1191" s="379" t="s">
        <v>1111</v>
      </c>
      <c r="C1191" s="1823" t="s">
        <v>3190</v>
      </c>
      <c r="D1191" s="379" t="s">
        <v>3422</v>
      </c>
      <c r="E1191" s="1168">
        <v>2014000</v>
      </c>
      <c r="F1191" s="1168">
        <v>221000</v>
      </c>
      <c r="G1191" s="1168">
        <v>220150</v>
      </c>
      <c r="H1191" s="1168">
        <v>850</v>
      </c>
    </row>
    <row r="1192" spans="1:8" ht="12.75">
      <c r="A1192" s="1822">
        <v>2141194114</v>
      </c>
      <c r="B1192" s="379" t="s">
        <v>1112</v>
      </c>
      <c r="C1192" s="1823" t="s">
        <v>3190</v>
      </c>
      <c r="D1192" s="379" t="s">
        <v>3422</v>
      </c>
      <c r="E1192" s="1168">
        <v>3580000</v>
      </c>
      <c r="F1192" s="1168">
        <v>0</v>
      </c>
      <c r="G1192" s="1168">
        <v>0</v>
      </c>
      <c r="H1192" s="1168">
        <v>0</v>
      </c>
    </row>
    <row r="1193" spans="1:8" ht="12.75">
      <c r="A1193" s="1822">
        <v>2141194115</v>
      </c>
      <c r="B1193" s="379" t="s">
        <v>1113</v>
      </c>
      <c r="C1193" s="1823" t="s">
        <v>3190</v>
      </c>
      <c r="D1193" s="379" t="s">
        <v>3422</v>
      </c>
      <c r="E1193" s="1168">
        <v>1700000</v>
      </c>
      <c r="F1193" s="1168">
        <v>0</v>
      </c>
      <c r="G1193" s="1168">
        <v>0</v>
      </c>
      <c r="H1193" s="1168">
        <v>0</v>
      </c>
    </row>
    <row r="1194" spans="1:8" ht="12.75">
      <c r="A1194" s="1822" t="s">
        <v>1114</v>
      </c>
      <c r="B1194" s="379" t="s">
        <v>1115</v>
      </c>
      <c r="C1194" s="1823" t="s">
        <v>3190</v>
      </c>
      <c r="D1194" s="379" t="s">
        <v>3422</v>
      </c>
      <c r="E1194" s="1168">
        <v>1634000</v>
      </c>
      <c r="F1194" s="1168">
        <v>2437000</v>
      </c>
      <c r="G1194" s="1168">
        <v>183260</v>
      </c>
      <c r="H1194" s="1168">
        <v>2253740</v>
      </c>
    </row>
    <row r="1195" spans="1:8" ht="12.75">
      <c r="A1195" s="1822" t="s">
        <v>1116</v>
      </c>
      <c r="B1195" s="379" t="s">
        <v>1117</v>
      </c>
      <c r="C1195" s="1823" t="s">
        <v>3190</v>
      </c>
      <c r="D1195" s="379" t="s">
        <v>3422</v>
      </c>
      <c r="E1195" s="1168">
        <v>2094000</v>
      </c>
      <c r="F1195" s="1168">
        <v>2091000</v>
      </c>
      <c r="G1195" s="1168">
        <v>2090068.4</v>
      </c>
      <c r="H1195" s="1168">
        <v>931</v>
      </c>
    </row>
    <row r="1196" spans="1:8" ht="12.75">
      <c r="A1196" s="1822" t="s">
        <v>1118</v>
      </c>
      <c r="B1196" s="379" t="s">
        <v>1119</v>
      </c>
      <c r="C1196" s="1823" t="s">
        <v>3190</v>
      </c>
      <c r="D1196" s="379" t="s">
        <v>3422</v>
      </c>
      <c r="E1196" s="1168">
        <v>874000</v>
      </c>
      <c r="F1196" s="1168">
        <v>1187000</v>
      </c>
      <c r="G1196" s="1168">
        <v>1185478</v>
      </c>
      <c r="H1196" s="1168">
        <v>1522</v>
      </c>
    </row>
    <row r="1197" spans="1:8" ht="12.75">
      <c r="A1197" s="1822" t="s">
        <v>1120</v>
      </c>
      <c r="B1197" s="379" t="s">
        <v>1121</v>
      </c>
      <c r="C1197" s="1823" t="s">
        <v>3190</v>
      </c>
      <c r="D1197" s="379" t="s">
        <v>3422</v>
      </c>
      <c r="E1197" s="1168">
        <v>592000</v>
      </c>
      <c r="F1197" s="1168">
        <v>653000</v>
      </c>
      <c r="G1197" s="1168">
        <v>651429.8</v>
      </c>
      <c r="H1197" s="1168">
        <v>1570</v>
      </c>
    </row>
    <row r="1198" spans="1:8" ht="12.75">
      <c r="A1198" s="1822" t="s">
        <v>1122</v>
      </c>
      <c r="B1198" s="379" t="s">
        <v>1123</v>
      </c>
      <c r="C1198" s="1823" t="s">
        <v>3190</v>
      </c>
      <c r="D1198" s="379" t="s">
        <v>3422</v>
      </c>
      <c r="E1198" s="1168">
        <v>757000</v>
      </c>
      <c r="F1198" s="1168">
        <v>1938000</v>
      </c>
      <c r="G1198" s="1168">
        <v>1937090.4</v>
      </c>
      <c r="H1198" s="1168">
        <v>909</v>
      </c>
    </row>
    <row r="1199" spans="1:8" ht="12.75">
      <c r="A1199" s="1822" t="s">
        <v>1124</v>
      </c>
      <c r="B1199" s="379" t="s">
        <v>1125</v>
      </c>
      <c r="C1199" s="1823" t="s">
        <v>2561</v>
      </c>
      <c r="D1199" s="379" t="s">
        <v>3423</v>
      </c>
      <c r="E1199" s="1168">
        <v>0</v>
      </c>
      <c r="F1199" s="1168">
        <v>177000</v>
      </c>
      <c r="G1199" s="1168">
        <v>176120</v>
      </c>
      <c r="H1199" s="1168">
        <v>880</v>
      </c>
    </row>
    <row r="1200" spans="1:8" ht="12.75">
      <c r="A1200" s="1822" t="s">
        <v>1126</v>
      </c>
      <c r="B1200" s="379" t="s">
        <v>1127</v>
      </c>
      <c r="C1200" s="1823" t="s">
        <v>2169</v>
      </c>
      <c r="D1200" s="379" t="s">
        <v>3422</v>
      </c>
      <c r="E1200" s="1168">
        <v>0</v>
      </c>
      <c r="F1200" s="1168">
        <v>718000</v>
      </c>
      <c r="G1200" s="1168">
        <v>449701</v>
      </c>
      <c r="H1200" s="1168">
        <v>268000</v>
      </c>
    </row>
    <row r="1201" spans="1:8" ht="12.75">
      <c r="A1201" s="1822" t="s">
        <v>1128</v>
      </c>
      <c r="B1201" s="379" t="s">
        <v>1129</v>
      </c>
      <c r="C1201" s="1823" t="s">
        <v>2193</v>
      </c>
      <c r="D1201" s="379" t="s">
        <v>3422</v>
      </c>
      <c r="E1201" s="1168">
        <v>0</v>
      </c>
      <c r="F1201" s="1168">
        <v>2382000</v>
      </c>
      <c r="G1201" s="1168">
        <v>2381188</v>
      </c>
      <c r="H1201" s="1168">
        <v>0</v>
      </c>
    </row>
    <row r="1202" spans="1:8" ht="12.75">
      <c r="A1202" s="1822" t="s">
        <v>1128</v>
      </c>
      <c r="B1202" s="379" t="s">
        <v>1129</v>
      </c>
      <c r="C1202" s="1823" t="s">
        <v>2193</v>
      </c>
      <c r="D1202" s="379" t="s">
        <v>3423</v>
      </c>
      <c r="E1202" s="1168">
        <v>0</v>
      </c>
      <c r="F1202" s="1168">
        <v>434000</v>
      </c>
      <c r="G1202" s="1168">
        <v>433103</v>
      </c>
      <c r="H1202" s="1168">
        <v>890</v>
      </c>
    </row>
    <row r="1203" spans="1:8" ht="12.75">
      <c r="A1203" s="1822" t="s">
        <v>1130</v>
      </c>
      <c r="B1203" s="379" t="s">
        <v>1131</v>
      </c>
      <c r="C1203" s="1823" t="s">
        <v>2532</v>
      </c>
      <c r="D1203" s="379" t="s">
        <v>3422</v>
      </c>
      <c r="E1203" s="1168">
        <v>0</v>
      </c>
      <c r="F1203" s="1168">
        <v>3373000</v>
      </c>
      <c r="G1203" s="1168">
        <v>2399262.45</v>
      </c>
      <c r="H1203" s="1168">
        <v>973000</v>
      </c>
    </row>
    <row r="1204" spans="1:8" ht="12.75">
      <c r="A1204" s="1822" t="s">
        <v>1130</v>
      </c>
      <c r="B1204" s="379" t="s">
        <v>1131</v>
      </c>
      <c r="C1204" s="1823" t="s">
        <v>2532</v>
      </c>
      <c r="D1204" s="379" t="s">
        <v>3423</v>
      </c>
      <c r="E1204" s="1168">
        <v>0</v>
      </c>
      <c r="F1204" s="1168">
        <v>356000</v>
      </c>
      <c r="G1204" s="1168">
        <v>269864.35</v>
      </c>
      <c r="H1204" s="1168">
        <v>86000</v>
      </c>
    </row>
    <row r="1205" spans="1:8" ht="12.75">
      <c r="A1205" s="1822" t="s">
        <v>1132</v>
      </c>
      <c r="B1205" s="379" t="s">
        <v>1133</v>
      </c>
      <c r="C1205" s="1823" t="s">
        <v>2169</v>
      </c>
      <c r="D1205" s="379" t="s">
        <v>3423</v>
      </c>
      <c r="E1205" s="1168">
        <v>0</v>
      </c>
      <c r="F1205" s="1168">
        <v>97000</v>
      </c>
      <c r="G1205" s="1168">
        <v>96390</v>
      </c>
      <c r="H1205" s="1168">
        <v>610</v>
      </c>
    </row>
    <row r="1206" spans="1:8" ht="12.75">
      <c r="A1206" s="1822" t="s">
        <v>1134</v>
      </c>
      <c r="B1206" s="379" t="s">
        <v>1135</v>
      </c>
      <c r="C1206" s="1823" t="s">
        <v>2169</v>
      </c>
      <c r="D1206" s="379" t="s">
        <v>3423</v>
      </c>
      <c r="E1206" s="1168">
        <v>0</v>
      </c>
      <c r="F1206" s="1168">
        <v>143000</v>
      </c>
      <c r="G1206" s="1168">
        <v>142800</v>
      </c>
      <c r="H1206" s="1168">
        <v>200</v>
      </c>
    </row>
    <row r="1207" spans="1:8" ht="12.75">
      <c r="A1207" s="1822" t="s">
        <v>1136</v>
      </c>
      <c r="B1207" s="379" t="s">
        <v>1137</v>
      </c>
      <c r="C1207" s="1823" t="s">
        <v>2169</v>
      </c>
      <c r="D1207" s="379" t="s">
        <v>3423</v>
      </c>
      <c r="E1207" s="1168">
        <v>0</v>
      </c>
      <c r="F1207" s="1168">
        <v>85000</v>
      </c>
      <c r="G1207" s="1168">
        <v>84490</v>
      </c>
      <c r="H1207" s="1168">
        <v>510</v>
      </c>
    </row>
    <row r="1208" spans="1:8" ht="12.75">
      <c r="A1208" s="1822" t="s">
        <v>1138</v>
      </c>
      <c r="B1208" s="379" t="s">
        <v>1139</v>
      </c>
      <c r="C1208" s="1823" t="s">
        <v>2193</v>
      </c>
      <c r="D1208" s="379" t="s">
        <v>3423</v>
      </c>
      <c r="E1208" s="1168">
        <v>0</v>
      </c>
      <c r="F1208" s="1168">
        <v>105000</v>
      </c>
      <c r="G1208" s="1168">
        <v>104694</v>
      </c>
      <c r="H1208" s="1168">
        <v>300</v>
      </c>
    </row>
    <row r="1209" spans="1:8" ht="12.75">
      <c r="A1209" s="1822" t="s">
        <v>1140</v>
      </c>
      <c r="B1209" s="379" t="s">
        <v>1141</v>
      </c>
      <c r="C1209" s="1823" t="s">
        <v>3190</v>
      </c>
      <c r="D1209" s="379" t="s">
        <v>3422</v>
      </c>
      <c r="E1209" s="1168">
        <v>0</v>
      </c>
      <c r="F1209" s="1168">
        <v>1415000</v>
      </c>
      <c r="G1209" s="1168">
        <v>113050</v>
      </c>
      <c r="H1209" s="1168">
        <v>1301950</v>
      </c>
    </row>
    <row r="1210" spans="1:8" ht="12.75">
      <c r="A1210" s="1822" t="s">
        <v>1142</v>
      </c>
      <c r="B1210" s="379" t="s">
        <v>1143</v>
      </c>
      <c r="C1210" s="1823" t="s">
        <v>3190</v>
      </c>
      <c r="D1210" s="379" t="s">
        <v>3422</v>
      </c>
      <c r="E1210" s="1168">
        <v>0</v>
      </c>
      <c r="F1210" s="1168">
        <v>809000</v>
      </c>
      <c r="G1210" s="1168">
        <v>807301.95</v>
      </c>
      <c r="H1210" s="1168">
        <v>1698</v>
      </c>
    </row>
    <row r="1211" spans="1:8" ht="12.75">
      <c r="A1211" s="1822" t="s">
        <v>1144</v>
      </c>
      <c r="B1211" s="379" t="s">
        <v>1145</v>
      </c>
      <c r="C1211" s="1823" t="s">
        <v>3190</v>
      </c>
      <c r="D1211" s="379" t="s">
        <v>3422</v>
      </c>
      <c r="E1211" s="1168">
        <v>0</v>
      </c>
      <c r="F1211" s="1168">
        <v>619000</v>
      </c>
      <c r="G1211" s="1168">
        <v>618800</v>
      </c>
      <c r="H1211" s="1168">
        <v>200</v>
      </c>
    </row>
    <row r="1212" spans="1:8" ht="12.75">
      <c r="A1212" s="1822" t="s">
        <v>1146</v>
      </c>
      <c r="B1212" s="379" t="s">
        <v>1147</v>
      </c>
      <c r="C1212" s="1823" t="s">
        <v>3190</v>
      </c>
      <c r="D1212" s="379" t="s">
        <v>3422</v>
      </c>
      <c r="E1212" s="1168">
        <v>0</v>
      </c>
      <c r="F1212" s="1168">
        <v>1875000</v>
      </c>
      <c r="G1212" s="1168">
        <v>1874659.4</v>
      </c>
      <c r="H1212" s="1168">
        <v>340</v>
      </c>
    </row>
    <row r="1213" spans="1:8" ht="12.75">
      <c r="A1213" s="1822" t="s">
        <v>1148</v>
      </c>
      <c r="B1213" s="379" t="s">
        <v>1149</v>
      </c>
      <c r="C1213" s="1823" t="s">
        <v>2184</v>
      </c>
      <c r="D1213" s="379" t="s">
        <v>3422</v>
      </c>
      <c r="E1213" s="1168">
        <v>0</v>
      </c>
      <c r="F1213" s="1168">
        <v>407000</v>
      </c>
      <c r="G1213" s="1168">
        <v>406658</v>
      </c>
      <c r="H1213" s="1168">
        <v>342</v>
      </c>
    </row>
    <row r="1214" spans="1:8" ht="12.75">
      <c r="A1214" s="1822" t="s">
        <v>1150</v>
      </c>
      <c r="B1214" s="379" t="s">
        <v>3087</v>
      </c>
      <c r="C1214" s="1823" t="s">
        <v>2801</v>
      </c>
      <c r="D1214" s="379" t="s">
        <v>3423</v>
      </c>
      <c r="E1214" s="1168">
        <v>888000</v>
      </c>
      <c r="F1214" s="1168">
        <v>0</v>
      </c>
      <c r="G1214" s="1168">
        <v>0</v>
      </c>
      <c r="H1214" s="1168">
        <v>0</v>
      </c>
    </row>
    <row r="1215" spans="1:8" s="174" customFormat="1" ht="12.75">
      <c r="A1215" s="1824" t="s">
        <v>1151</v>
      </c>
      <c r="B1215" s="1825"/>
      <c r="C1215" s="1825"/>
      <c r="D1215" s="1826"/>
      <c r="E1215" s="1821">
        <v>99558000</v>
      </c>
      <c r="F1215" s="1821">
        <v>92617000</v>
      </c>
      <c r="G1215" s="1821">
        <v>43638223.89</v>
      </c>
      <c r="H1215" s="1821">
        <v>48964187</v>
      </c>
    </row>
    <row r="1216" spans="1:8" s="174" customFormat="1" ht="12.75">
      <c r="A1216" s="1824" t="s">
        <v>1152</v>
      </c>
      <c r="B1216" s="1825"/>
      <c r="C1216" s="1825"/>
      <c r="D1216" s="1826"/>
      <c r="E1216" s="1821">
        <f>SUM(E661,E864,E1025,E1029,E1037,E1061,E1070,E1215)</f>
        <v>1399562000</v>
      </c>
      <c r="F1216" s="1821">
        <f>SUM(F661,F864,F1025,F1029,F1037,F1061,F1070,F1215)</f>
        <v>1550007000</v>
      </c>
      <c r="G1216" s="1821">
        <f>SUM(G661,G864,G1025,G1029,G1037,G1061,G1070,G1215)</f>
        <v>1221421566.4400003</v>
      </c>
      <c r="H1216" s="1821">
        <f>SUM(H661,H864,H1025,H1029,H1037,H1061,H1070,H1215)</f>
        <v>343261740.97</v>
      </c>
    </row>
    <row r="1217" spans="1:8" ht="12.75">
      <c r="A1217" s="1822" t="s">
        <v>1153</v>
      </c>
      <c r="B1217" s="379" t="s">
        <v>1154</v>
      </c>
      <c r="C1217" s="1823" t="s">
        <v>2645</v>
      </c>
      <c r="D1217" s="379" t="s">
        <v>3422</v>
      </c>
      <c r="E1217" s="1168">
        <v>900000</v>
      </c>
      <c r="F1217" s="1168">
        <v>605000</v>
      </c>
      <c r="G1217" s="1168">
        <v>604934</v>
      </c>
      <c r="H1217" s="1168">
        <v>66</v>
      </c>
    </row>
    <row r="1218" spans="1:8" ht="12.75">
      <c r="A1218" s="1822" t="s">
        <v>1153</v>
      </c>
      <c r="B1218" s="379" t="s">
        <v>1154</v>
      </c>
      <c r="C1218" s="1823" t="s">
        <v>2645</v>
      </c>
      <c r="D1218" s="379" t="s">
        <v>3423</v>
      </c>
      <c r="E1218" s="1168">
        <v>0</v>
      </c>
      <c r="F1218" s="1168">
        <v>295000</v>
      </c>
      <c r="G1218" s="1168">
        <v>295000</v>
      </c>
      <c r="H1218" s="1168">
        <v>0</v>
      </c>
    </row>
    <row r="1219" spans="1:8" ht="12.75">
      <c r="A1219" s="1822" t="s">
        <v>1155</v>
      </c>
      <c r="B1219" s="379" t="s">
        <v>1156</v>
      </c>
      <c r="C1219" s="1823" t="s">
        <v>2645</v>
      </c>
      <c r="D1219" s="379" t="s">
        <v>3422</v>
      </c>
      <c r="E1219" s="1168">
        <v>600000</v>
      </c>
      <c r="F1219" s="1168">
        <v>592000</v>
      </c>
      <c r="G1219" s="1168">
        <v>591470</v>
      </c>
      <c r="H1219" s="1168">
        <v>530</v>
      </c>
    </row>
    <row r="1220" spans="1:8" ht="12.75">
      <c r="A1220" s="1822" t="s">
        <v>1157</v>
      </c>
      <c r="B1220" s="379" t="s">
        <v>1158</v>
      </c>
      <c r="C1220" s="1823" t="s">
        <v>2645</v>
      </c>
      <c r="D1220" s="379" t="s">
        <v>3422</v>
      </c>
      <c r="E1220" s="1168">
        <v>1000000</v>
      </c>
      <c r="F1220" s="1168">
        <v>805000</v>
      </c>
      <c r="G1220" s="1168">
        <v>804410.3</v>
      </c>
      <c r="H1220" s="1168">
        <v>589.7</v>
      </c>
    </row>
    <row r="1221" spans="1:8" ht="12.75">
      <c r="A1221" s="1822">
        <v>2142114004</v>
      </c>
      <c r="B1221" s="379" t="s">
        <v>1159</v>
      </c>
      <c r="C1221" s="1823" t="s">
        <v>2645</v>
      </c>
      <c r="D1221" s="379" t="s">
        <v>3422</v>
      </c>
      <c r="E1221" s="1168">
        <v>5840000</v>
      </c>
      <c r="F1221" s="1168">
        <v>0</v>
      </c>
      <c r="G1221" s="1168">
        <v>0</v>
      </c>
      <c r="H1221" s="1168">
        <v>0</v>
      </c>
    </row>
    <row r="1222" spans="1:8" ht="12.75">
      <c r="A1222" s="1822">
        <v>2142114005</v>
      </c>
      <c r="B1222" s="379" t="s">
        <v>1160</v>
      </c>
      <c r="C1222" s="1823" t="s">
        <v>2645</v>
      </c>
      <c r="D1222" s="379" t="s">
        <v>3422</v>
      </c>
      <c r="E1222" s="1168">
        <v>500000</v>
      </c>
      <c r="F1222" s="1168">
        <v>0</v>
      </c>
      <c r="G1222" s="1168">
        <v>0</v>
      </c>
      <c r="H1222" s="1168">
        <v>0</v>
      </c>
    </row>
    <row r="1223" spans="1:8" ht="12.75">
      <c r="A1223" s="1822">
        <v>2142114006</v>
      </c>
      <c r="B1223" s="379" t="s">
        <v>1161</v>
      </c>
      <c r="C1223" s="1823" t="s">
        <v>2645</v>
      </c>
      <c r="D1223" s="379" t="s">
        <v>3422</v>
      </c>
      <c r="E1223" s="1168">
        <v>699000</v>
      </c>
      <c r="F1223" s="1168">
        <v>0</v>
      </c>
      <c r="G1223" s="1168">
        <v>0</v>
      </c>
      <c r="H1223" s="1168">
        <v>0</v>
      </c>
    </row>
    <row r="1224" spans="1:8" ht="12.75">
      <c r="A1224" s="1822">
        <v>2142114007</v>
      </c>
      <c r="B1224" s="379" t="s">
        <v>1162</v>
      </c>
      <c r="C1224" s="1823" t="s">
        <v>2645</v>
      </c>
      <c r="D1224" s="379" t="s">
        <v>3422</v>
      </c>
      <c r="E1224" s="1168">
        <v>1500000</v>
      </c>
      <c r="F1224" s="1168">
        <v>0</v>
      </c>
      <c r="G1224" s="1168">
        <v>0</v>
      </c>
      <c r="H1224" s="1168">
        <v>0</v>
      </c>
    </row>
    <row r="1225" spans="1:8" ht="12.75">
      <c r="A1225" s="1822" t="s">
        <v>1163</v>
      </c>
      <c r="B1225" s="379" t="s">
        <v>1164</v>
      </c>
      <c r="C1225" s="1823" t="s">
        <v>2645</v>
      </c>
      <c r="D1225" s="379" t="s">
        <v>3422</v>
      </c>
      <c r="E1225" s="1168">
        <v>21840000</v>
      </c>
      <c r="F1225" s="1168">
        <v>19139000</v>
      </c>
      <c r="G1225" s="1168">
        <v>19138817.4</v>
      </c>
      <c r="H1225" s="1168">
        <v>182.6</v>
      </c>
    </row>
    <row r="1226" spans="1:8" ht="12.75">
      <c r="A1226" s="1822" t="s">
        <v>1165</v>
      </c>
      <c r="B1226" s="379" t="s">
        <v>2219</v>
      </c>
      <c r="C1226" s="1823" t="s">
        <v>3462</v>
      </c>
      <c r="D1226" s="379" t="s">
        <v>3422</v>
      </c>
      <c r="E1226" s="1168">
        <v>1700000</v>
      </c>
      <c r="F1226" s="1168">
        <v>1700000</v>
      </c>
      <c r="G1226" s="1168">
        <v>1699422</v>
      </c>
      <c r="H1226" s="1168">
        <v>578</v>
      </c>
    </row>
    <row r="1227" spans="1:8" ht="12.75">
      <c r="A1227" s="1822" t="s">
        <v>1166</v>
      </c>
      <c r="B1227" s="379" t="s">
        <v>1167</v>
      </c>
      <c r="C1227" s="1823" t="s">
        <v>3462</v>
      </c>
      <c r="D1227" s="379" t="s">
        <v>3422</v>
      </c>
      <c r="E1227" s="1168">
        <v>200000</v>
      </c>
      <c r="F1227" s="1168">
        <v>200000</v>
      </c>
      <c r="G1227" s="1168">
        <v>196837</v>
      </c>
      <c r="H1227" s="1168">
        <v>3163</v>
      </c>
    </row>
    <row r="1228" spans="1:8" ht="12.75">
      <c r="A1228" s="1822" t="s">
        <v>1168</v>
      </c>
      <c r="B1228" s="379" t="s">
        <v>2173</v>
      </c>
      <c r="C1228" s="1823" t="s">
        <v>3462</v>
      </c>
      <c r="D1228" s="379" t="s">
        <v>3422</v>
      </c>
      <c r="E1228" s="1168">
        <v>600000</v>
      </c>
      <c r="F1228" s="1168">
        <v>600000</v>
      </c>
      <c r="G1228" s="1168">
        <v>599641</v>
      </c>
      <c r="H1228" s="1168">
        <v>359</v>
      </c>
    </row>
    <row r="1229" spans="1:8" ht="12.75">
      <c r="A1229" s="1822" t="s">
        <v>1169</v>
      </c>
      <c r="B1229" s="379" t="s">
        <v>1170</v>
      </c>
      <c r="C1229" s="1823" t="s">
        <v>3462</v>
      </c>
      <c r="D1229" s="379" t="s">
        <v>3422</v>
      </c>
      <c r="E1229" s="1168">
        <v>230000</v>
      </c>
      <c r="F1229" s="1168">
        <v>230000</v>
      </c>
      <c r="G1229" s="1168">
        <v>229908</v>
      </c>
      <c r="H1229" s="1168">
        <v>92</v>
      </c>
    </row>
    <row r="1230" spans="1:8" ht="12.75">
      <c r="A1230" s="1822" t="s">
        <v>1171</v>
      </c>
      <c r="B1230" s="379" t="s">
        <v>1172</v>
      </c>
      <c r="C1230" s="1823" t="s">
        <v>3464</v>
      </c>
      <c r="D1230" s="379" t="s">
        <v>3422</v>
      </c>
      <c r="E1230" s="1168">
        <v>1540000</v>
      </c>
      <c r="F1230" s="1168">
        <v>1537000</v>
      </c>
      <c r="G1230" s="1168">
        <v>1536373</v>
      </c>
      <c r="H1230" s="1168">
        <v>627</v>
      </c>
    </row>
    <row r="1231" spans="1:8" ht="12.75">
      <c r="A1231" s="1822">
        <v>2142114014</v>
      </c>
      <c r="B1231" s="379" t="s">
        <v>1173</v>
      </c>
      <c r="C1231" s="1823" t="s">
        <v>3464</v>
      </c>
      <c r="D1231" s="379" t="s">
        <v>3422</v>
      </c>
      <c r="E1231" s="1168">
        <v>200000</v>
      </c>
      <c r="F1231" s="1168">
        <v>0</v>
      </c>
      <c r="G1231" s="1168">
        <v>0</v>
      </c>
      <c r="H1231" s="1168">
        <v>0</v>
      </c>
    </row>
    <row r="1232" spans="1:8" ht="12.75">
      <c r="A1232" s="1822">
        <v>2142114015</v>
      </c>
      <c r="B1232" s="379" t="s">
        <v>1174</v>
      </c>
      <c r="C1232" s="1823" t="s">
        <v>3464</v>
      </c>
      <c r="D1232" s="379" t="s">
        <v>3422</v>
      </c>
      <c r="E1232" s="1168">
        <v>90000</v>
      </c>
      <c r="F1232" s="1168">
        <v>0</v>
      </c>
      <c r="G1232" s="1168">
        <v>0</v>
      </c>
      <c r="H1232" s="1168">
        <v>0</v>
      </c>
    </row>
    <row r="1233" spans="1:8" ht="12.75">
      <c r="A1233" s="1822">
        <v>2142114016</v>
      </c>
      <c r="B1233" s="379" t="s">
        <v>1175</v>
      </c>
      <c r="C1233" s="1823" t="s">
        <v>3464</v>
      </c>
      <c r="D1233" s="379" t="s">
        <v>3422</v>
      </c>
      <c r="E1233" s="1168">
        <v>3325000</v>
      </c>
      <c r="F1233" s="1168">
        <v>0</v>
      </c>
      <c r="G1233" s="1168">
        <v>0</v>
      </c>
      <c r="H1233" s="1168">
        <v>0</v>
      </c>
    </row>
    <row r="1234" spans="1:8" ht="12.75">
      <c r="A1234" s="1822" t="s">
        <v>1176</v>
      </c>
      <c r="B1234" s="379" t="s">
        <v>1177</v>
      </c>
      <c r="C1234" s="1823" t="s">
        <v>3464</v>
      </c>
      <c r="D1234" s="379" t="s">
        <v>3422</v>
      </c>
      <c r="E1234" s="1168">
        <v>250000</v>
      </c>
      <c r="F1234" s="1168">
        <v>247000</v>
      </c>
      <c r="G1234" s="1168">
        <v>246759</v>
      </c>
      <c r="H1234" s="1168">
        <v>241</v>
      </c>
    </row>
    <row r="1235" spans="1:8" ht="12.75">
      <c r="A1235" s="1822">
        <v>2142114018</v>
      </c>
      <c r="B1235" s="379" t="s">
        <v>1178</v>
      </c>
      <c r="C1235" s="1823" t="s">
        <v>3464</v>
      </c>
      <c r="D1235" s="379" t="s">
        <v>3422</v>
      </c>
      <c r="E1235" s="1168">
        <v>50000</v>
      </c>
      <c r="F1235" s="1168">
        <v>0</v>
      </c>
      <c r="G1235" s="1168">
        <v>0</v>
      </c>
      <c r="H1235" s="1168">
        <v>0</v>
      </c>
    </row>
    <row r="1236" spans="1:8" ht="12.75">
      <c r="A1236" s="1822" t="s">
        <v>1179</v>
      </c>
      <c r="B1236" s="379" t="s">
        <v>1180</v>
      </c>
      <c r="C1236" s="1823" t="s">
        <v>3464</v>
      </c>
      <c r="D1236" s="379" t="s">
        <v>3422</v>
      </c>
      <c r="E1236" s="1168">
        <v>250000</v>
      </c>
      <c r="F1236" s="1168">
        <v>250000</v>
      </c>
      <c r="G1236" s="1168">
        <v>250000</v>
      </c>
      <c r="H1236" s="1168">
        <v>0</v>
      </c>
    </row>
    <row r="1237" spans="1:8" ht="12.75">
      <c r="A1237" s="1822" t="s">
        <v>1181</v>
      </c>
      <c r="B1237" s="379" t="s">
        <v>1182</v>
      </c>
      <c r="C1237" s="1823" t="s">
        <v>3464</v>
      </c>
      <c r="D1237" s="379" t="s">
        <v>3422</v>
      </c>
      <c r="E1237" s="1168">
        <v>2500000</v>
      </c>
      <c r="F1237" s="1168">
        <v>2499000</v>
      </c>
      <c r="G1237" s="1168">
        <v>2498572</v>
      </c>
      <c r="H1237" s="1168">
        <v>428</v>
      </c>
    </row>
    <row r="1238" spans="1:8" ht="12.75">
      <c r="A1238" s="1822">
        <v>2142114021</v>
      </c>
      <c r="B1238" s="379" t="s">
        <v>1183</v>
      </c>
      <c r="C1238" s="1823" t="s">
        <v>3464</v>
      </c>
      <c r="D1238" s="379" t="s">
        <v>3422</v>
      </c>
      <c r="E1238" s="1168">
        <v>70000</v>
      </c>
      <c r="F1238" s="1168">
        <v>0</v>
      </c>
      <c r="G1238" s="1168">
        <v>0</v>
      </c>
      <c r="H1238" s="1168">
        <v>0</v>
      </c>
    </row>
    <row r="1239" spans="1:8" ht="12.75">
      <c r="A1239" s="1822" t="s">
        <v>1184</v>
      </c>
      <c r="B1239" s="379" t="s">
        <v>1185</v>
      </c>
      <c r="C1239" s="1823" t="s">
        <v>3464</v>
      </c>
      <c r="D1239" s="379" t="s">
        <v>3422</v>
      </c>
      <c r="E1239" s="1168">
        <v>903000</v>
      </c>
      <c r="F1239" s="1168">
        <v>878000</v>
      </c>
      <c r="G1239" s="1168">
        <v>877509</v>
      </c>
      <c r="H1239" s="1168">
        <v>491</v>
      </c>
    </row>
    <row r="1240" spans="1:8" ht="12.75">
      <c r="A1240" s="1822" t="s">
        <v>1186</v>
      </c>
      <c r="B1240" s="379" t="s">
        <v>1187</v>
      </c>
      <c r="C1240" s="1823" t="s">
        <v>3464</v>
      </c>
      <c r="D1240" s="379" t="s">
        <v>3422</v>
      </c>
      <c r="E1240" s="1168">
        <v>1080000</v>
      </c>
      <c r="F1240" s="1168">
        <v>1230000</v>
      </c>
      <c r="G1240" s="1168">
        <v>1230000</v>
      </c>
      <c r="H1240" s="1168">
        <v>0</v>
      </c>
    </row>
    <row r="1241" spans="1:8" ht="12.75">
      <c r="A1241" s="1822">
        <v>2142114024</v>
      </c>
      <c r="B1241" s="379" t="s">
        <v>1188</v>
      </c>
      <c r="C1241" s="1823" t="s">
        <v>3464</v>
      </c>
      <c r="D1241" s="379" t="s">
        <v>3422</v>
      </c>
      <c r="E1241" s="1168">
        <v>120000</v>
      </c>
      <c r="F1241" s="1168">
        <v>0</v>
      </c>
      <c r="G1241" s="1168">
        <v>0</v>
      </c>
      <c r="H1241" s="1168">
        <v>0</v>
      </c>
    </row>
    <row r="1242" spans="1:8" ht="12.75">
      <c r="A1242" s="1822" t="s">
        <v>1189</v>
      </c>
      <c r="B1242" s="379" t="s">
        <v>1190</v>
      </c>
      <c r="C1242" s="1823" t="s">
        <v>3466</v>
      </c>
      <c r="D1242" s="379" t="s">
        <v>3422</v>
      </c>
      <c r="E1242" s="1168">
        <v>600000</v>
      </c>
      <c r="F1242" s="1168">
        <v>600000</v>
      </c>
      <c r="G1242" s="1168">
        <v>600000</v>
      </c>
      <c r="H1242" s="1168">
        <v>0</v>
      </c>
    </row>
    <row r="1243" spans="1:8" ht="12.75">
      <c r="A1243" s="1822" t="s">
        <v>1191</v>
      </c>
      <c r="B1243" s="379" t="s">
        <v>1192</v>
      </c>
      <c r="C1243" s="1823" t="s">
        <v>3466</v>
      </c>
      <c r="D1243" s="379" t="s">
        <v>3422</v>
      </c>
      <c r="E1243" s="1168">
        <v>600000</v>
      </c>
      <c r="F1243" s="1168">
        <v>600000</v>
      </c>
      <c r="G1243" s="1168">
        <v>599755</v>
      </c>
      <c r="H1243" s="1168">
        <v>245</v>
      </c>
    </row>
    <row r="1244" spans="1:8" ht="12.75">
      <c r="A1244" s="1822" t="s">
        <v>1193</v>
      </c>
      <c r="B1244" s="379" t="s">
        <v>1194</v>
      </c>
      <c r="C1244" s="1823" t="s">
        <v>3466</v>
      </c>
      <c r="D1244" s="379" t="s">
        <v>3422</v>
      </c>
      <c r="E1244" s="1168">
        <v>230000</v>
      </c>
      <c r="F1244" s="1168">
        <v>230000</v>
      </c>
      <c r="G1244" s="1168">
        <v>229665.3</v>
      </c>
      <c r="H1244" s="1168">
        <v>334.7</v>
      </c>
    </row>
    <row r="1245" spans="1:8" ht="12.75">
      <c r="A1245" s="1822" t="s">
        <v>1195</v>
      </c>
      <c r="B1245" s="379" t="s">
        <v>1196</v>
      </c>
      <c r="C1245" s="1823" t="s">
        <v>3466</v>
      </c>
      <c r="D1245" s="379" t="s">
        <v>3422</v>
      </c>
      <c r="E1245" s="1168">
        <v>3120000</v>
      </c>
      <c r="F1245" s="1168">
        <v>3120000</v>
      </c>
      <c r="G1245" s="1168">
        <v>3120000</v>
      </c>
      <c r="H1245" s="1168">
        <v>0</v>
      </c>
    </row>
    <row r="1246" spans="1:8" ht="12.75">
      <c r="A1246" s="1822" t="s">
        <v>1197</v>
      </c>
      <c r="B1246" s="379" t="s">
        <v>1198</v>
      </c>
      <c r="C1246" s="1823" t="s">
        <v>3468</v>
      </c>
      <c r="D1246" s="379" t="s">
        <v>3422</v>
      </c>
      <c r="E1246" s="1168">
        <v>1400000</v>
      </c>
      <c r="F1246" s="1168">
        <v>1552000</v>
      </c>
      <c r="G1246" s="1168">
        <v>1551713</v>
      </c>
      <c r="H1246" s="1168">
        <v>287</v>
      </c>
    </row>
    <row r="1247" spans="1:8" ht="12.75">
      <c r="A1247" s="1822" t="s">
        <v>1199</v>
      </c>
      <c r="B1247" s="379" t="s">
        <v>1192</v>
      </c>
      <c r="C1247" s="1823" t="s">
        <v>3468</v>
      </c>
      <c r="D1247" s="379" t="s">
        <v>3422</v>
      </c>
      <c r="E1247" s="1168">
        <v>900000</v>
      </c>
      <c r="F1247" s="1168">
        <v>720000</v>
      </c>
      <c r="G1247" s="1168">
        <v>719074</v>
      </c>
      <c r="H1247" s="1168">
        <v>926</v>
      </c>
    </row>
    <row r="1248" spans="1:8" ht="12.75">
      <c r="A1248" s="1822" t="s">
        <v>1200</v>
      </c>
      <c r="B1248" s="379" t="s">
        <v>1194</v>
      </c>
      <c r="C1248" s="1823" t="s">
        <v>3468</v>
      </c>
      <c r="D1248" s="379" t="s">
        <v>3422</v>
      </c>
      <c r="E1248" s="1168">
        <v>230000</v>
      </c>
      <c r="F1248" s="1168">
        <v>258000</v>
      </c>
      <c r="G1248" s="1168">
        <v>257195</v>
      </c>
      <c r="H1248" s="1168">
        <v>805</v>
      </c>
    </row>
    <row r="1249" spans="1:8" ht="12.75">
      <c r="A1249" s="1822" t="s">
        <v>1201</v>
      </c>
      <c r="B1249" s="379" t="s">
        <v>1196</v>
      </c>
      <c r="C1249" s="1823" t="s">
        <v>3468</v>
      </c>
      <c r="D1249" s="379" t="s">
        <v>3422</v>
      </c>
      <c r="E1249" s="1168">
        <v>3120000</v>
      </c>
      <c r="F1249" s="1168">
        <v>3120000</v>
      </c>
      <c r="G1249" s="1168">
        <v>3119997</v>
      </c>
      <c r="H1249" s="1168">
        <v>3</v>
      </c>
    </row>
    <row r="1250" spans="1:8" ht="12.75">
      <c r="A1250" s="1822" t="s">
        <v>1202</v>
      </c>
      <c r="B1250" s="379" t="s">
        <v>1203</v>
      </c>
      <c r="C1250" s="1823" t="s">
        <v>3469</v>
      </c>
      <c r="D1250" s="379" t="s">
        <v>3422</v>
      </c>
      <c r="E1250" s="1168">
        <v>1700000</v>
      </c>
      <c r="F1250" s="1168">
        <v>1700000</v>
      </c>
      <c r="G1250" s="1168">
        <v>1699586</v>
      </c>
      <c r="H1250" s="1168">
        <v>414</v>
      </c>
    </row>
    <row r="1251" spans="1:8" ht="12.75">
      <c r="A1251" s="1822" t="s">
        <v>1204</v>
      </c>
      <c r="B1251" s="379" t="s">
        <v>1205</v>
      </c>
      <c r="C1251" s="1823" t="s">
        <v>3469</v>
      </c>
      <c r="D1251" s="379" t="s">
        <v>3422</v>
      </c>
      <c r="E1251" s="1168">
        <v>600000</v>
      </c>
      <c r="F1251" s="1168">
        <v>555000</v>
      </c>
      <c r="G1251" s="1168">
        <v>554329.07</v>
      </c>
      <c r="H1251" s="1168">
        <v>670.93</v>
      </c>
    </row>
    <row r="1252" spans="1:8" ht="12.75">
      <c r="A1252" s="1822" t="s">
        <v>1206</v>
      </c>
      <c r="B1252" s="379" t="s">
        <v>1194</v>
      </c>
      <c r="C1252" s="1823" t="s">
        <v>3469</v>
      </c>
      <c r="D1252" s="379" t="s">
        <v>3422</v>
      </c>
      <c r="E1252" s="1168">
        <v>230000</v>
      </c>
      <c r="F1252" s="1168">
        <v>230000</v>
      </c>
      <c r="G1252" s="1168">
        <v>229551</v>
      </c>
      <c r="H1252" s="1168">
        <v>449</v>
      </c>
    </row>
    <row r="1253" spans="1:8" ht="12.75">
      <c r="A1253" s="1822" t="s">
        <v>1207</v>
      </c>
      <c r="B1253" s="379" t="s">
        <v>1208</v>
      </c>
      <c r="C1253" s="1823" t="s">
        <v>3469</v>
      </c>
      <c r="D1253" s="379" t="s">
        <v>3422</v>
      </c>
      <c r="E1253" s="1168">
        <v>220000</v>
      </c>
      <c r="F1253" s="1168">
        <v>220000</v>
      </c>
      <c r="G1253" s="1168">
        <v>219998.6</v>
      </c>
      <c r="H1253" s="1168">
        <v>1.4</v>
      </c>
    </row>
    <row r="1254" spans="1:8" ht="12.75">
      <c r="A1254" s="1822" t="s">
        <v>1209</v>
      </c>
      <c r="B1254" s="379" t="s">
        <v>1196</v>
      </c>
      <c r="C1254" s="1823" t="s">
        <v>3469</v>
      </c>
      <c r="D1254" s="379" t="s">
        <v>3422</v>
      </c>
      <c r="E1254" s="1168">
        <v>1560000</v>
      </c>
      <c r="F1254" s="1168">
        <v>1560000</v>
      </c>
      <c r="G1254" s="1168">
        <v>1560000</v>
      </c>
      <c r="H1254" s="1168">
        <v>0</v>
      </c>
    </row>
    <row r="1255" spans="1:8" ht="12.75">
      <c r="A1255" s="1822" t="s">
        <v>1210</v>
      </c>
      <c r="B1255" s="379" t="s">
        <v>1211</v>
      </c>
      <c r="C1255" s="1823" t="s">
        <v>3471</v>
      </c>
      <c r="D1255" s="379" t="s">
        <v>3422</v>
      </c>
      <c r="E1255" s="1168">
        <v>1200000</v>
      </c>
      <c r="F1255" s="1168">
        <v>1200000</v>
      </c>
      <c r="G1255" s="1168">
        <v>1200000</v>
      </c>
      <c r="H1255" s="1168">
        <v>0</v>
      </c>
    </row>
    <row r="1256" spans="1:8" ht="12.75">
      <c r="A1256" s="1822">
        <v>2142114039</v>
      </c>
      <c r="B1256" s="379" t="s">
        <v>1212</v>
      </c>
      <c r="C1256" s="1823" t="s">
        <v>3471</v>
      </c>
      <c r="D1256" s="379" t="s">
        <v>3422</v>
      </c>
      <c r="E1256" s="1168">
        <v>600000</v>
      </c>
      <c r="F1256" s="1168">
        <v>0</v>
      </c>
      <c r="G1256" s="1168">
        <v>0</v>
      </c>
      <c r="H1256" s="1168">
        <v>0</v>
      </c>
    </row>
    <row r="1257" spans="1:8" ht="12.75">
      <c r="A1257" s="1822" t="s">
        <v>1213</v>
      </c>
      <c r="B1257" s="379" t="s">
        <v>1214</v>
      </c>
      <c r="C1257" s="1823" t="s">
        <v>3471</v>
      </c>
      <c r="D1257" s="379" t="s">
        <v>3422</v>
      </c>
      <c r="E1257" s="1168">
        <v>230000</v>
      </c>
      <c r="F1257" s="1168">
        <v>230000</v>
      </c>
      <c r="G1257" s="1168">
        <v>230000</v>
      </c>
      <c r="H1257" s="1168">
        <v>0</v>
      </c>
    </row>
    <row r="1258" spans="1:8" ht="12.75">
      <c r="A1258" s="1822" t="s">
        <v>1215</v>
      </c>
      <c r="B1258" s="379" t="s">
        <v>1216</v>
      </c>
      <c r="C1258" s="1823" t="s">
        <v>3473</v>
      </c>
      <c r="D1258" s="379" t="s">
        <v>3422</v>
      </c>
      <c r="E1258" s="1168">
        <v>2530000</v>
      </c>
      <c r="F1258" s="1168">
        <v>2468000</v>
      </c>
      <c r="G1258" s="1168">
        <v>2467787</v>
      </c>
      <c r="H1258" s="1168">
        <v>213</v>
      </c>
    </row>
    <row r="1259" spans="1:8" ht="12.75">
      <c r="A1259" s="1822" t="s">
        <v>1217</v>
      </c>
      <c r="B1259" s="379" t="s">
        <v>1218</v>
      </c>
      <c r="C1259" s="1823" t="s">
        <v>3473</v>
      </c>
      <c r="D1259" s="379" t="s">
        <v>3422</v>
      </c>
      <c r="E1259" s="1168">
        <v>1773000</v>
      </c>
      <c r="F1259" s="1168">
        <v>1730000</v>
      </c>
      <c r="G1259" s="1168">
        <v>1729401</v>
      </c>
      <c r="H1259" s="1168">
        <v>599</v>
      </c>
    </row>
    <row r="1260" spans="1:8" ht="12.75">
      <c r="A1260" s="1822">
        <v>2142114043</v>
      </c>
      <c r="B1260" s="379" t="s">
        <v>1219</v>
      </c>
      <c r="C1260" s="1823" t="s">
        <v>3477</v>
      </c>
      <c r="D1260" s="379" t="s">
        <v>3422</v>
      </c>
      <c r="E1260" s="1168">
        <v>150000</v>
      </c>
      <c r="F1260" s="1168">
        <v>0</v>
      </c>
      <c r="G1260" s="1168">
        <v>0</v>
      </c>
      <c r="H1260" s="1168">
        <v>0</v>
      </c>
    </row>
    <row r="1261" spans="1:8" ht="12.75">
      <c r="A1261" s="1822">
        <v>2142114044</v>
      </c>
      <c r="B1261" s="379" t="s">
        <v>1220</v>
      </c>
      <c r="C1261" s="1823" t="s">
        <v>3477</v>
      </c>
      <c r="D1261" s="379" t="s">
        <v>3422</v>
      </c>
      <c r="E1261" s="1168">
        <v>180000</v>
      </c>
      <c r="F1261" s="1168">
        <v>0</v>
      </c>
      <c r="G1261" s="1168">
        <v>0</v>
      </c>
      <c r="H1261" s="1168">
        <v>0</v>
      </c>
    </row>
    <row r="1262" spans="1:8" ht="12.75">
      <c r="A1262" s="1822">
        <v>2142114045</v>
      </c>
      <c r="B1262" s="379" t="s">
        <v>1221</v>
      </c>
      <c r="C1262" s="1823" t="s">
        <v>3477</v>
      </c>
      <c r="D1262" s="379" t="s">
        <v>3422</v>
      </c>
      <c r="E1262" s="1168">
        <v>168000</v>
      </c>
      <c r="F1262" s="1168">
        <v>0</v>
      </c>
      <c r="G1262" s="1168">
        <v>0</v>
      </c>
      <c r="H1262" s="1168">
        <v>0</v>
      </c>
    </row>
    <row r="1263" spans="1:8" ht="12.75">
      <c r="A1263" s="1822" t="s">
        <v>1222</v>
      </c>
      <c r="B1263" s="379" t="s">
        <v>1223</v>
      </c>
      <c r="C1263" s="1823" t="s">
        <v>3477</v>
      </c>
      <c r="D1263" s="379" t="s">
        <v>3422</v>
      </c>
      <c r="E1263" s="1168">
        <v>208000</v>
      </c>
      <c r="F1263" s="1168">
        <v>126000</v>
      </c>
      <c r="G1263" s="1168">
        <v>125935</v>
      </c>
      <c r="H1263" s="1168">
        <v>65</v>
      </c>
    </row>
    <row r="1264" spans="1:8" ht="12.75">
      <c r="A1264" s="1822" t="s">
        <v>1224</v>
      </c>
      <c r="B1264" s="379" t="s">
        <v>1225</v>
      </c>
      <c r="C1264" s="1823" t="s">
        <v>3477</v>
      </c>
      <c r="D1264" s="379" t="s">
        <v>3422</v>
      </c>
      <c r="E1264" s="1168">
        <v>100000</v>
      </c>
      <c r="F1264" s="1168">
        <v>100000</v>
      </c>
      <c r="G1264" s="1168">
        <v>100000</v>
      </c>
      <c r="H1264" s="1168">
        <v>0</v>
      </c>
    </row>
    <row r="1265" spans="1:8" ht="12.75">
      <c r="A1265" s="1822" t="s">
        <v>1226</v>
      </c>
      <c r="B1265" s="379" t="s">
        <v>1227</v>
      </c>
      <c r="C1265" s="1823" t="s">
        <v>3477</v>
      </c>
      <c r="D1265" s="379" t="s">
        <v>3422</v>
      </c>
      <c r="E1265" s="1168">
        <v>170000</v>
      </c>
      <c r="F1265" s="1168">
        <v>170000</v>
      </c>
      <c r="G1265" s="1168">
        <v>169980</v>
      </c>
      <c r="H1265" s="1168">
        <v>20</v>
      </c>
    </row>
    <row r="1266" spans="1:8" ht="12.75">
      <c r="A1266" s="1822" t="s">
        <v>1228</v>
      </c>
      <c r="B1266" s="379" t="s">
        <v>1229</v>
      </c>
      <c r="C1266" s="1823" t="s">
        <v>3477</v>
      </c>
      <c r="D1266" s="379" t="s">
        <v>3422</v>
      </c>
      <c r="E1266" s="1168">
        <v>220000</v>
      </c>
      <c r="F1266" s="1168">
        <v>220000</v>
      </c>
      <c r="G1266" s="1168">
        <v>219870</v>
      </c>
      <c r="H1266" s="1168">
        <v>130</v>
      </c>
    </row>
    <row r="1267" spans="1:8" ht="12.75">
      <c r="A1267" s="1822" t="s">
        <v>1230</v>
      </c>
      <c r="B1267" s="379" t="s">
        <v>1203</v>
      </c>
      <c r="C1267" s="1823" t="s">
        <v>3475</v>
      </c>
      <c r="D1267" s="379" t="s">
        <v>3422</v>
      </c>
      <c r="E1267" s="1168">
        <v>1700000</v>
      </c>
      <c r="F1267" s="1168">
        <v>1690000</v>
      </c>
      <c r="G1267" s="1168">
        <v>1689085</v>
      </c>
      <c r="H1267" s="1168">
        <v>915</v>
      </c>
    </row>
    <row r="1268" spans="1:8" ht="12.75">
      <c r="A1268" s="1822" t="s">
        <v>1231</v>
      </c>
      <c r="B1268" s="379" t="s">
        <v>1232</v>
      </c>
      <c r="C1268" s="1823" t="s">
        <v>3475</v>
      </c>
      <c r="D1268" s="379" t="s">
        <v>3422</v>
      </c>
      <c r="E1268" s="1168">
        <v>600000</v>
      </c>
      <c r="F1268" s="1168">
        <v>581000</v>
      </c>
      <c r="G1268" s="1168">
        <v>580339</v>
      </c>
      <c r="H1268" s="1168">
        <v>661</v>
      </c>
    </row>
    <row r="1269" spans="1:8" ht="12.75">
      <c r="A1269" s="1822" t="s">
        <v>1233</v>
      </c>
      <c r="B1269" s="379" t="s">
        <v>1234</v>
      </c>
      <c r="C1269" s="1823" t="s">
        <v>3475</v>
      </c>
      <c r="D1269" s="379" t="s">
        <v>3422</v>
      </c>
      <c r="E1269" s="1168">
        <v>230000</v>
      </c>
      <c r="F1269" s="1168">
        <v>230000</v>
      </c>
      <c r="G1269" s="1168">
        <v>229556.5</v>
      </c>
      <c r="H1269" s="1168">
        <v>443.5</v>
      </c>
    </row>
    <row r="1270" spans="1:8" ht="12.75">
      <c r="A1270" s="1822" t="s">
        <v>1235</v>
      </c>
      <c r="B1270" s="379" t="s">
        <v>1236</v>
      </c>
      <c r="C1270" s="1823" t="s">
        <v>3475</v>
      </c>
      <c r="D1270" s="379" t="s">
        <v>3422</v>
      </c>
      <c r="E1270" s="1168">
        <v>3500000</v>
      </c>
      <c r="F1270" s="1168">
        <v>3499000</v>
      </c>
      <c r="G1270" s="1168">
        <v>3498076.4</v>
      </c>
      <c r="H1270" s="1168">
        <v>923.6</v>
      </c>
    </row>
    <row r="1271" spans="1:8" ht="12.75">
      <c r="A1271" s="1822" t="s">
        <v>1237</v>
      </c>
      <c r="B1271" s="379" t="s">
        <v>1238</v>
      </c>
      <c r="C1271" s="1823" t="s">
        <v>3479</v>
      </c>
      <c r="D1271" s="379" t="s">
        <v>3422</v>
      </c>
      <c r="E1271" s="1168">
        <v>500000</v>
      </c>
      <c r="F1271" s="1168">
        <v>500000</v>
      </c>
      <c r="G1271" s="1168">
        <v>499800</v>
      </c>
      <c r="H1271" s="1168">
        <v>0</v>
      </c>
    </row>
    <row r="1272" spans="1:8" ht="12.75">
      <c r="A1272" s="1822" t="s">
        <v>1239</v>
      </c>
      <c r="B1272" s="379" t="s">
        <v>1240</v>
      </c>
      <c r="C1272" s="1823" t="s">
        <v>3479</v>
      </c>
      <c r="D1272" s="379" t="s">
        <v>3422</v>
      </c>
      <c r="E1272" s="1168">
        <v>500000</v>
      </c>
      <c r="F1272" s="1168">
        <v>499000</v>
      </c>
      <c r="G1272" s="1168">
        <v>498487.4</v>
      </c>
      <c r="H1272" s="1168">
        <v>0</v>
      </c>
    </row>
    <row r="1273" spans="1:8" ht="12.75">
      <c r="A1273" s="1822" t="s">
        <v>1241</v>
      </c>
      <c r="B1273" s="379" t="s">
        <v>1192</v>
      </c>
      <c r="C1273" s="1823" t="s">
        <v>3479</v>
      </c>
      <c r="D1273" s="379" t="s">
        <v>3422</v>
      </c>
      <c r="E1273" s="1168">
        <v>600000</v>
      </c>
      <c r="F1273" s="1168">
        <v>600000</v>
      </c>
      <c r="G1273" s="1168">
        <v>600000</v>
      </c>
      <c r="H1273" s="1168">
        <v>0</v>
      </c>
    </row>
    <row r="1274" spans="1:8" ht="12.75">
      <c r="A1274" s="1822" t="s">
        <v>1242</v>
      </c>
      <c r="B1274" s="379" t="s">
        <v>1194</v>
      </c>
      <c r="C1274" s="1823" t="s">
        <v>3479</v>
      </c>
      <c r="D1274" s="379" t="s">
        <v>3422</v>
      </c>
      <c r="E1274" s="1168">
        <v>230000</v>
      </c>
      <c r="F1274" s="1168">
        <v>230000</v>
      </c>
      <c r="G1274" s="1168">
        <v>229389</v>
      </c>
      <c r="H1274" s="1168">
        <v>0</v>
      </c>
    </row>
    <row r="1275" spans="1:8" ht="12.75">
      <c r="A1275" s="1822" t="s">
        <v>1243</v>
      </c>
      <c r="B1275" s="379" t="s">
        <v>1244</v>
      </c>
      <c r="C1275" s="1823" t="s">
        <v>3481</v>
      </c>
      <c r="D1275" s="379" t="s">
        <v>3422</v>
      </c>
      <c r="E1275" s="1168">
        <v>1700000</v>
      </c>
      <c r="F1275" s="1168">
        <v>1553000</v>
      </c>
      <c r="G1275" s="1168">
        <v>1552163.2</v>
      </c>
      <c r="H1275" s="1168">
        <v>836.8</v>
      </c>
    </row>
    <row r="1276" spans="1:8" ht="12.75">
      <c r="A1276" s="1822" t="s">
        <v>1245</v>
      </c>
      <c r="B1276" s="379" t="s">
        <v>1246</v>
      </c>
      <c r="C1276" s="1823" t="s">
        <v>3481</v>
      </c>
      <c r="D1276" s="379" t="s">
        <v>3422</v>
      </c>
      <c r="E1276" s="1168">
        <v>600000</v>
      </c>
      <c r="F1276" s="1168">
        <v>653000</v>
      </c>
      <c r="G1276" s="1168">
        <v>652231.2</v>
      </c>
      <c r="H1276" s="1168">
        <v>768.8</v>
      </c>
    </row>
    <row r="1277" spans="1:8" ht="12.75">
      <c r="A1277" s="1822" t="s">
        <v>1247</v>
      </c>
      <c r="B1277" s="379" t="s">
        <v>1194</v>
      </c>
      <c r="C1277" s="1823" t="s">
        <v>3481</v>
      </c>
      <c r="D1277" s="379" t="s">
        <v>3422</v>
      </c>
      <c r="E1277" s="1168">
        <v>230000</v>
      </c>
      <c r="F1277" s="1168">
        <v>321000</v>
      </c>
      <c r="G1277" s="1168">
        <v>320732</v>
      </c>
      <c r="H1277" s="1168">
        <v>268</v>
      </c>
    </row>
    <row r="1278" spans="1:8" ht="12.75">
      <c r="A1278" s="1822" t="s">
        <v>1248</v>
      </c>
      <c r="B1278" s="379" t="s">
        <v>1249</v>
      </c>
      <c r="C1278" s="1823" t="s">
        <v>3487</v>
      </c>
      <c r="D1278" s="379" t="s">
        <v>3422</v>
      </c>
      <c r="E1278" s="1168">
        <v>830000</v>
      </c>
      <c r="F1278" s="1168">
        <v>810000</v>
      </c>
      <c r="G1278" s="1168">
        <v>809590</v>
      </c>
      <c r="H1278" s="1168">
        <v>410</v>
      </c>
    </row>
    <row r="1279" spans="1:8" ht="12.75">
      <c r="A1279" s="1822" t="s">
        <v>1250</v>
      </c>
      <c r="B1279" s="379" t="s">
        <v>1251</v>
      </c>
      <c r="C1279" s="1823" t="s">
        <v>3483</v>
      </c>
      <c r="D1279" s="379" t="s">
        <v>3422</v>
      </c>
      <c r="E1279" s="1168">
        <v>800000</v>
      </c>
      <c r="F1279" s="1168">
        <v>793000</v>
      </c>
      <c r="G1279" s="1168">
        <v>792822</v>
      </c>
      <c r="H1279" s="1168">
        <v>178</v>
      </c>
    </row>
    <row r="1280" spans="1:8" ht="12.75">
      <c r="A1280" s="1822" t="s">
        <v>1252</v>
      </c>
      <c r="B1280" s="379" t="s">
        <v>1253</v>
      </c>
      <c r="C1280" s="1823" t="s">
        <v>3483</v>
      </c>
      <c r="D1280" s="379" t="s">
        <v>3422</v>
      </c>
      <c r="E1280" s="1168">
        <v>1310000</v>
      </c>
      <c r="F1280" s="1168">
        <v>1300000</v>
      </c>
      <c r="G1280" s="1168">
        <v>1299507</v>
      </c>
      <c r="H1280" s="1168">
        <v>493</v>
      </c>
    </row>
    <row r="1281" spans="1:8" ht="12.75">
      <c r="A1281" s="1822" t="s">
        <v>1254</v>
      </c>
      <c r="B1281" s="379" t="s">
        <v>1255</v>
      </c>
      <c r="C1281" s="1823" t="s">
        <v>3483</v>
      </c>
      <c r="D1281" s="379" t="s">
        <v>3422</v>
      </c>
      <c r="E1281" s="1168">
        <v>120000</v>
      </c>
      <c r="F1281" s="1168">
        <v>118000</v>
      </c>
      <c r="G1281" s="1168">
        <v>117334</v>
      </c>
      <c r="H1281" s="1168">
        <v>666</v>
      </c>
    </row>
    <row r="1282" spans="1:8" ht="12.75">
      <c r="A1282" s="1822" t="s">
        <v>1256</v>
      </c>
      <c r="B1282" s="379" t="s">
        <v>1192</v>
      </c>
      <c r="C1282" s="1823" t="s">
        <v>3483</v>
      </c>
      <c r="D1282" s="379" t="s">
        <v>3422</v>
      </c>
      <c r="E1282" s="1168">
        <v>600000</v>
      </c>
      <c r="F1282" s="1168">
        <v>599000</v>
      </c>
      <c r="G1282" s="1168">
        <v>598500</v>
      </c>
      <c r="H1282" s="1168">
        <v>500</v>
      </c>
    </row>
    <row r="1283" spans="1:8" ht="12.75">
      <c r="A1283" s="1822" t="s">
        <v>1257</v>
      </c>
      <c r="B1283" s="379" t="s">
        <v>1258</v>
      </c>
      <c r="C1283" s="1823" t="s">
        <v>3483</v>
      </c>
      <c r="D1283" s="379" t="s">
        <v>3422</v>
      </c>
      <c r="E1283" s="1168">
        <v>300000</v>
      </c>
      <c r="F1283" s="1168">
        <v>300000</v>
      </c>
      <c r="G1283" s="1168">
        <v>299711</v>
      </c>
      <c r="H1283" s="1168">
        <v>289</v>
      </c>
    </row>
    <row r="1284" spans="1:8" ht="12.75">
      <c r="A1284" s="1822" t="s">
        <v>1259</v>
      </c>
      <c r="B1284" s="379" t="s">
        <v>1260</v>
      </c>
      <c r="C1284" s="1823" t="s">
        <v>3485</v>
      </c>
      <c r="D1284" s="379" t="s">
        <v>3422</v>
      </c>
      <c r="E1284" s="1168">
        <v>960000</v>
      </c>
      <c r="F1284" s="1168">
        <v>960000</v>
      </c>
      <c r="G1284" s="1168">
        <v>960000</v>
      </c>
      <c r="H1284" s="1168">
        <v>0</v>
      </c>
    </row>
    <row r="1285" spans="1:8" ht="12.75">
      <c r="A1285" s="1822" t="s">
        <v>1261</v>
      </c>
      <c r="B1285" s="379" t="s">
        <v>1262</v>
      </c>
      <c r="C1285" s="1823" t="s">
        <v>3485</v>
      </c>
      <c r="D1285" s="379" t="s">
        <v>3422</v>
      </c>
      <c r="E1285" s="1168">
        <v>640000</v>
      </c>
      <c r="F1285" s="1168">
        <v>634000</v>
      </c>
      <c r="G1285" s="1168">
        <v>633078.7</v>
      </c>
      <c r="H1285" s="1168">
        <v>921.3</v>
      </c>
    </row>
    <row r="1286" spans="1:8" ht="12.75">
      <c r="A1286" s="1822" t="s">
        <v>1263</v>
      </c>
      <c r="B1286" s="379" t="s">
        <v>1264</v>
      </c>
      <c r="C1286" s="1823" t="s">
        <v>3485</v>
      </c>
      <c r="D1286" s="379" t="s">
        <v>3422</v>
      </c>
      <c r="E1286" s="1168">
        <v>230000</v>
      </c>
      <c r="F1286" s="1168">
        <v>230000</v>
      </c>
      <c r="G1286" s="1168">
        <v>229854</v>
      </c>
      <c r="H1286" s="1168">
        <v>146</v>
      </c>
    </row>
    <row r="1287" spans="1:8" ht="12.75">
      <c r="A1287" s="1822" t="s">
        <v>1265</v>
      </c>
      <c r="B1287" s="379" t="s">
        <v>1266</v>
      </c>
      <c r="C1287" s="1823" t="s">
        <v>3485</v>
      </c>
      <c r="D1287" s="379" t="s">
        <v>3422</v>
      </c>
      <c r="E1287" s="1168">
        <v>1420000</v>
      </c>
      <c r="F1287" s="1168">
        <v>1220000</v>
      </c>
      <c r="G1287" s="1168">
        <v>1219725.8</v>
      </c>
      <c r="H1287" s="1168">
        <v>274.2</v>
      </c>
    </row>
    <row r="1288" spans="1:8" ht="12.75">
      <c r="A1288" s="1822" t="s">
        <v>1267</v>
      </c>
      <c r="B1288" s="379" t="s">
        <v>1268</v>
      </c>
      <c r="C1288" s="1823" t="s">
        <v>3464</v>
      </c>
      <c r="D1288" s="379" t="s">
        <v>3422</v>
      </c>
      <c r="E1288" s="1168">
        <v>0</v>
      </c>
      <c r="F1288" s="1168">
        <v>300000</v>
      </c>
      <c r="G1288" s="1168">
        <v>300000</v>
      </c>
      <c r="H1288" s="1168">
        <v>0</v>
      </c>
    </row>
    <row r="1289" spans="1:8" ht="12.75">
      <c r="A1289" s="1822" t="s">
        <v>1269</v>
      </c>
      <c r="B1289" s="379" t="s">
        <v>1270</v>
      </c>
      <c r="C1289" s="1823" t="s">
        <v>3471</v>
      </c>
      <c r="D1289" s="379" t="s">
        <v>3422</v>
      </c>
      <c r="E1289" s="1168">
        <v>0</v>
      </c>
      <c r="F1289" s="1168">
        <v>600000</v>
      </c>
      <c r="G1289" s="1168">
        <v>600000</v>
      </c>
      <c r="H1289" s="1168">
        <v>0</v>
      </c>
    </row>
    <row r="1290" spans="1:8" ht="12.75">
      <c r="A1290" s="1822" t="s">
        <v>1271</v>
      </c>
      <c r="B1290" s="379" t="s">
        <v>1272</v>
      </c>
      <c r="C1290" s="1823" t="s">
        <v>2645</v>
      </c>
      <c r="D1290" s="379" t="s">
        <v>3422</v>
      </c>
      <c r="E1290" s="1168">
        <v>0</v>
      </c>
      <c r="F1290" s="1168">
        <v>121000</v>
      </c>
      <c r="G1290" s="1168">
        <v>120404</v>
      </c>
      <c r="H1290" s="1168">
        <v>596</v>
      </c>
    </row>
    <row r="1291" spans="1:8" ht="12.75">
      <c r="A1291" s="1822" t="s">
        <v>1273</v>
      </c>
      <c r="B1291" s="379" t="s">
        <v>1274</v>
      </c>
      <c r="C1291" s="1823" t="s">
        <v>3487</v>
      </c>
      <c r="D1291" s="379" t="s">
        <v>3422</v>
      </c>
      <c r="E1291" s="1168">
        <v>0</v>
      </c>
      <c r="F1291" s="1168">
        <v>112000</v>
      </c>
      <c r="G1291" s="1168">
        <v>111804</v>
      </c>
      <c r="H1291" s="1168">
        <v>196</v>
      </c>
    </row>
    <row r="1292" spans="1:8" ht="12.75">
      <c r="A1292" s="1822" t="s">
        <v>1275</v>
      </c>
      <c r="B1292" s="379" t="s">
        <v>1276</v>
      </c>
      <c r="C1292" s="1823" t="s">
        <v>3485</v>
      </c>
      <c r="D1292" s="379" t="s">
        <v>3422</v>
      </c>
      <c r="E1292" s="1168">
        <v>0</v>
      </c>
      <c r="F1292" s="1168">
        <v>81000</v>
      </c>
      <c r="G1292" s="1168">
        <v>80294</v>
      </c>
      <c r="H1292" s="1168">
        <v>706</v>
      </c>
    </row>
    <row r="1293" spans="1:8" ht="12.75">
      <c r="A1293" s="1822" t="s">
        <v>1277</v>
      </c>
      <c r="B1293" s="379" t="s">
        <v>1278</v>
      </c>
      <c r="C1293" s="1823" t="s">
        <v>3469</v>
      </c>
      <c r="D1293" s="379" t="s">
        <v>3422</v>
      </c>
      <c r="E1293" s="1168">
        <v>0</v>
      </c>
      <c r="F1293" s="1168">
        <v>0</v>
      </c>
      <c r="G1293" s="1168">
        <v>999988.7</v>
      </c>
      <c r="H1293" s="1168">
        <v>0</v>
      </c>
    </row>
    <row r="1294" spans="1:8" ht="12.75">
      <c r="A1294" s="1822" t="s">
        <v>1279</v>
      </c>
      <c r="B1294" s="379" t="s">
        <v>1280</v>
      </c>
      <c r="C1294" s="1823" t="s">
        <v>3464</v>
      </c>
      <c r="D1294" s="379" t="s">
        <v>3422</v>
      </c>
      <c r="E1294" s="1168">
        <v>0</v>
      </c>
      <c r="F1294" s="1168">
        <v>1715000</v>
      </c>
      <c r="G1294" s="1168">
        <v>1715000</v>
      </c>
      <c r="H1294" s="1168">
        <v>0</v>
      </c>
    </row>
    <row r="1295" spans="1:8" ht="12.75">
      <c r="A1295" s="1822" t="s">
        <v>1281</v>
      </c>
      <c r="B1295" s="379" t="s">
        <v>1282</v>
      </c>
      <c r="C1295" s="1823" t="s">
        <v>3464</v>
      </c>
      <c r="D1295" s="379" t="s">
        <v>3422</v>
      </c>
      <c r="E1295" s="1168">
        <v>0</v>
      </c>
      <c r="F1295" s="1168">
        <v>162000</v>
      </c>
      <c r="G1295" s="1168">
        <v>161470</v>
      </c>
      <c r="H1295" s="1168">
        <v>530</v>
      </c>
    </row>
    <row r="1296" spans="1:8" ht="12.75">
      <c r="A1296" s="1822" t="s">
        <v>1283</v>
      </c>
      <c r="B1296" s="379" t="s">
        <v>1284</v>
      </c>
      <c r="C1296" s="1823" t="s">
        <v>3464</v>
      </c>
      <c r="D1296" s="379" t="s">
        <v>3422</v>
      </c>
      <c r="E1296" s="1168">
        <v>0</v>
      </c>
      <c r="F1296" s="1168">
        <v>700000</v>
      </c>
      <c r="G1296" s="1168">
        <v>700000</v>
      </c>
      <c r="H1296" s="1168">
        <v>0</v>
      </c>
    </row>
    <row r="1297" spans="1:8" ht="12.75">
      <c r="A1297" s="1822" t="s">
        <v>1285</v>
      </c>
      <c r="B1297" s="379" t="s">
        <v>1286</v>
      </c>
      <c r="C1297" s="1823" t="s">
        <v>3464</v>
      </c>
      <c r="D1297" s="379" t="s">
        <v>3422</v>
      </c>
      <c r="E1297" s="1168">
        <v>0</v>
      </c>
      <c r="F1297" s="1168">
        <v>330000</v>
      </c>
      <c r="G1297" s="1168">
        <v>330000</v>
      </c>
      <c r="H1297" s="1168">
        <v>0</v>
      </c>
    </row>
    <row r="1298" spans="1:8" ht="12.75">
      <c r="A1298" s="1822" t="s">
        <v>1287</v>
      </c>
      <c r="B1298" s="379" t="s">
        <v>1288</v>
      </c>
      <c r="C1298" s="1823" t="s">
        <v>3464</v>
      </c>
      <c r="D1298" s="379" t="s">
        <v>3422</v>
      </c>
      <c r="E1298" s="1168">
        <v>0</v>
      </c>
      <c r="F1298" s="1168">
        <v>795000</v>
      </c>
      <c r="G1298" s="1168">
        <v>795000</v>
      </c>
      <c r="H1298" s="1168">
        <v>0</v>
      </c>
    </row>
    <row r="1299" spans="1:8" ht="12.75">
      <c r="A1299" s="1822" t="s">
        <v>1289</v>
      </c>
      <c r="B1299" s="379" t="s">
        <v>1290</v>
      </c>
      <c r="C1299" s="1823" t="s">
        <v>2645</v>
      </c>
      <c r="D1299" s="379" t="s">
        <v>3422</v>
      </c>
      <c r="E1299" s="1168">
        <v>0</v>
      </c>
      <c r="F1299" s="1168">
        <v>1101000</v>
      </c>
      <c r="G1299" s="1168">
        <v>1100155</v>
      </c>
      <c r="H1299" s="1168">
        <v>845</v>
      </c>
    </row>
    <row r="1300" spans="1:8" ht="12.75">
      <c r="A1300" s="1822" t="s">
        <v>1291</v>
      </c>
      <c r="B1300" s="379" t="s">
        <v>1292</v>
      </c>
      <c r="C1300" s="1823" t="s">
        <v>3473</v>
      </c>
      <c r="D1300" s="379" t="s">
        <v>3422</v>
      </c>
      <c r="E1300" s="1168">
        <v>0</v>
      </c>
      <c r="F1300" s="1168">
        <v>4082000</v>
      </c>
      <c r="G1300" s="1168">
        <v>4081238</v>
      </c>
      <c r="H1300" s="1168">
        <v>762</v>
      </c>
    </row>
    <row r="1301" spans="1:8" ht="12.75">
      <c r="A1301" s="1822" t="s">
        <v>1293</v>
      </c>
      <c r="B1301" s="379" t="s">
        <v>1294</v>
      </c>
      <c r="C1301" s="1823" t="s">
        <v>3477</v>
      </c>
      <c r="D1301" s="379" t="s">
        <v>3422</v>
      </c>
      <c r="E1301" s="1168">
        <v>0</v>
      </c>
      <c r="F1301" s="1168">
        <v>0</v>
      </c>
      <c r="G1301" s="1168">
        <v>137030</v>
      </c>
      <c r="H1301" s="1168">
        <v>0</v>
      </c>
    </row>
    <row r="1302" spans="1:8" ht="12.75">
      <c r="A1302" s="1822" t="s">
        <v>1295</v>
      </c>
      <c r="B1302" s="379" t="s">
        <v>1296</v>
      </c>
      <c r="C1302" s="1823" t="s">
        <v>3477</v>
      </c>
      <c r="D1302" s="379" t="s">
        <v>3422</v>
      </c>
      <c r="E1302" s="1168">
        <v>0</v>
      </c>
      <c r="F1302" s="1168">
        <v>562000</v>
      </c>
      <c r="G1302" s="1168">
        <v>561632</v>
      </c>
      <c r="H1302" s="1168">
        <v>368</v>
      </c>
    </row>
    <row r="1303" spans="1:8" ht="12.75">
      <c r="A1303" s="1822" t="s">
        <v>1297</v>
      </c>
      <c r="B1303" s="379" t="s">
        <v>1298</v>
      </c>
      <c r="C1303" s="1823" t="s">
        <v>3479</v>
      </c>
      <c r="D1303" s="379" t="s">
        <v>3422</v>
      </c>
      <c r="E1303" s="1168">
        <v>0</v>
      </c>
      <c r="F1303" s="1168">
        <v>0</v>
      </c>
      <c r="G1303" s="1168">
        <v>290360</v>
      </c>
      <c r="H1303" s="1168">
        <v>0</v>
      </c>
    </row>
    <row r="1304" spans="1:8" ht="12.75">
      <c r="A1304" s="1822" t="s">
        <v>1299</v>
      </c>
      <c r="B1304" s="379" t="s">
        <v>1300</v>
      </c>
      <c r="C1304" s="1823" t="s">
        <v>2645</v>
      </c>
      <c r="D1304" s="379" t="s">
        <v>3422</v>
      </c>
      <c r="E1304" s="1168">
        <v>0</v>
      </c>
      <c r="F1304" s="1168">
        <v>350000</v>
      </c>
      <c r="G1304" s="1168">
        <v>0</v>
      </c>
      <c r="H1304" s="1168">
        <v>350000</v>
      </c>
    </row>
    <row r="1305" spans="1:8" ht="12.75">
      <c r="A1305" s="1822" t="s">
        <v>1301</v>
      </c>
      <c r="B1305" s="379" t="s">
        <v>1302</v>
      </c>
      <c r="C1305" s="1823" t="s">
        <v>2645</v>
      </c>
      <c r="D1305" s="379" t="s">
        <v>3422</v>
      </c>
      <c r="E1305" s="1168">
        <v>0</v>
      </c>
      <c r="F1305" s="1168">
        <v>198000</v>
      </c>
      <c r="G1305" s="1168">
        <v>197693</v>
      </c>
      <c r="H1305" s="1168">
        <v>307</v>
      </c>
    </row>
    <row r="1306" spans="1:8" ht="12.75">
      <c r="A1306" s="1822" t="s">
        <v>1303</v>
      </c>
      <c r="B1306" s="379" t="s">
        <v>1595</v>
      </c>
      <c r="C1306" s="1823" t="s">
        <v>2645</v>
      </c>
      <c r="D1306" s="379" t="s">
        <v>3422</v>
      </c>
      <c r="E1306" s="1168">
        <v>0</v>
      </c>
      <c r="F1306" s="1168">
        <v>712000</v>
      </c>
      <c r="G1306" s="1168">
        <v>0</v>
      </c>
      <c r="H1306" s="1168">
        <v>712000</v>
      </c>
    </row>
    <row r="1307" spans="1:8" ht="12.75">
      <c r="A1307" s="1822" t="s">
        <v>1596</v>
      </c>
      <c r="B1307" s="379" t="s">
        <v>1597</v>
      </c>
      <c r="C1307" s="1823" t="s">
        <v>2645</v>
      </c>
      <c r="D1307" s="379" t="s">
        <v>3422</v>
      </c>
      <c r="E1307" s="1168">
        <v>0</v>
      </c>
      <c r="F1307" s="1168">
        <v>85000</v>
      </c>
      <c r="G1307" s="1168">
        <v>84430</v>
      </c>
      <c r="H1307" s="1168">
        <v>570</v>
      </c>
    </row>
    <row r="1308" spans="1:8" ht="12.75">
      <c r="A1308" s="1822" t="s">
        <v>1598</v>
      </c>
      <c r="B1308" s="379" t="s">
        <v>1599</v>
      </c>
      <c r="C1308" s="1823" t="s">
        <v>2645</v>
      </c>
      <c r="D1308" s="379" t="s">
        <v>3422</v>
      </c>
      <c r="E1308" s="1168">
        <v>0</v>
      </c>
      <c r="F1308" s="1168">
        <v>6614000</v>
      </c>
      <c r="G1308" s="1168">
        <v>6612830</v>
      </c>
      <c r="H1308" s="1168">
        <v>1170</v>
      </c>
    </row>
    <row r="1309" spans="1:8" ht="12.75">
      <c r="A1309" s="1822" t="s">
        <v>1600</v>
      </c>
      <c r="B1309" s="379" t="s">
        <v>1601</v>
      </c>
      <c r="C1309" s="1823" t="s">
        <v>3475</v>
      </c>
      <c r="D1309" s="379" t="s">
        <v>3422</v>
      </c>
      <c r="E1309" s="1168">
        <v>0</v>
      </c>
      <c r="F1309" s="1168">
        <v>2243000</v>
      </c>
      <c r="G1309" s="1168">
        <v>2242555</v>
      </c>
      <c r="H1309" s="1168">
        <v>445</v>
      </c>
    </row>
    <row r="1310" spans="1:8" ht="12.75">
      <c r="A1310" s="1822" t="s">
        <v>1602</v>
      </c>
      <c r="B1310" s="379" t="s">
        <v>1603</v>
      </c>
      <c r="C1310" s="1823" t="s">
        <v>3475</v>
      </c>
      <c r="D1310" s="379" t="s">
        <v>3422</v>
      </c>
      <c r="E1310" s="1168">
        <v>0</v>
      </c>
      <c r="F1310" s="1168">
        <v>1247000</v>
      </c>
      <c r="G1310" s="1168">
        <v>1246525</v>
      </c>
      <c r="H1310" s="1168">
        <v>475</v>
      </c>
    </row>
    <row r="1311" spans="1:8" ht="12.75">
      <c r="A1311" s="1822" t="s">
        <v>1604</v>
      </c>
      <c r="B1311" s="379" t="s">
        <v>1605</v>
      </c>
      <c r="C1311" s="1823" t="s">
        <v>3475</v>
      </c>
      <c r="D1311" s="379" t="s">
        <v>3422</v>
      </c>
      <c r="E1311" s="1168">
        <v>0</v>
      </c>
      <c r="F1311" s="1168">
        <v>0</v>
      </c>
      <c r="G1311" s="1168">
        <v>146769.9</v>
      </c>
      <c r="H1311" s="1168">
        <v>0.1</v>
      </c>
    </row>
    <row r="1312" spans="1:8" ht="12.75">
      <c r="A1312" s="1822" t="s">
        <v>1606</v>
      </c>
      <c r="B1312" s="379" t="s">
        <v>1607</v>
      </c>
      <c r="C1312" s="1823" t="s">
        <v>3475</v>
      </c>
      <c r="D1312" s="379" t="s">
        <v>3422</v>
      </c>
      <c r="E1312" s="1168">
        <v>0</v>
      </c>
      <c r="F1312" s="1168">
        <v>0</v>
      </c>
      <c r="G1312" s="1168">
        <v>394520.8</v>
      </c>
      <c r="H1312" s="1168">
        <v>0</v>
      </c>
    </row>
    <row r="1313" spans="1:8" ht="12.75">
      <c r="A1313" s="1822" t="s">
        <v>1608</v>
      </c>
      <c r="B1313" s="379" t="s">
        <v>1609</v>
      </c>
      <c r="C1313" s="1823" t="s">
        <v>3475</v>
      </c>
      <c r="D1313" s="379" t="s">
        <v>3422</v>
      </c>
      <c r="E1313" s="1168">
        <v>0</v>
      </c>
      <c r="F1313" s="1168">
        <v>0</v>
      </c>
      <c r="G1313" s="1168">
        <v>594031.3</v>
      </c>
      <c r="H1313" s="1168">
        <v>0</v>
      </c>
    </row>
    <row r="1314" spans="1:8" ht="12.75">
      <c r="A1314" s="1822" t="s">
        <v>1610</v>
      </c>
      <c r="B1314" s="379" t="s">
        <v>1611</v>
      </c>
      <c r="C1314" s="1823" t="s">
        <v>3477</v>
      </c>
      <c r="D1314" s="379" t="s">
        <v>3422</v>
      </c>
      <c r="E1314" s="1168">
        <v>0</v>
      </c>
      <c r="F1314" s="1168">
        <v>0</v>
      </c>
      <c r="G1314" s="1168">
        <v>72500</v>
      </c>
      <c r="H1314" s="1168">
        <v>0</v>
      </c>
    </row>
    <row r="1315" spans="1:8" ht="12.75">
      <c r="A1315" s="1822" t="s">
        <v>1612</v>
      </c>
      <c r="B1315" s="379" t="s">
        <v>1613</v>
      </c>
      <c r="C1315" s="1823" t="s">
        <v>3475</v>
      </c>
      <c r="D1315" s="379" t="s">
        <v>3422</v>
      </c>
      <c r="E1315" s="1168">
        <v>0</v>
      </c>
      <c r="F1315" s="1168">
        <v>0</v>
      </c>
      <c r="G1315" s="1168">
        <v>724710</v>
      </c>
      <c r="H1315" s="1168">
        <v>0</v>
      </c>
    </row>
    <row r="1316" spans="1:8" ht="12.75">
      <c r="A1316" s="1822" t="s">
        <v>1614</v>
      </c>
      <c r="B1316" s="379" t="s">
        <v>1615</v>
      </c>
      <c r="C1316" s="1823" t="s">
        <v>3469</v>
      </c>
      <c r="D1316" s="379" t="s">
        <v>3422</v>
      </c>
      <c r="E1316" s="1168">
        <v>0</v>
      </c>
      <c r="F1316" s="1168">
        <v>0</v>
      </c>
      <c r="G1316" s="1168">
        <v>142776.2</v>
      </c>
      <c r="H1316" s="1168">
        <v>0</v>
      </c>
    </row>
    <row r="1317" spans="1:8" ht="12.75">
      <c r="A1317" s="1822" t="s">
        <v>1616</v>
      </c>
      <c r="B1317" s="379" t="s">
        <v>1617</v>
      </c>
      <c r="C1317" s="1823" t="s">
        <v>3481</v>
      </c>
      <c r="D1317" s="379" t="s">
        <v>3422</v>
      </c>
      <c r="E1317" s="1168">
        <v>0</v>
      </c>
      <c r="F1317" s="1168">
        <v>963000</v>
      </c>
      <c r="G1317" s="1168">
        <v>962122</v>
      </c>
      <c r="H1317" s="1168">
        <v>878</v>
      </c>
    </row>
    <row r="1318" spans="1:8" ht="12.75">
      <c r="A1318" s="1822" t="s">
        <v>1618</v>
      </c>
      <c r="B1318" s="379" t="s">
        <v>1619</v>
      </c>
      <c r="C1318" s="1823" t="s">
        <v>3487</v>
      </c>
      <c r="D1318" s="379" t="s">
        <v>3422</v>
      </c>
      <c r="E1318" s="1168">
        <v>0</v>
      </c>
      <c r="F1318" s="1168">
        <v>143000</v>
      </c>
      <c r="G1318" s="1168">
        <v>142800</v>
      </c>
      <c r="H1318" s="1168">
        <v>200</v>
      </c>
    </row>
    <row r="1319" spans="1:8" ht="12.75">
      <c r="A1319" s="1822" t="s">
        <v>1620</v>
      </c>
      <c r="B1319" s="379" t="s">
        <v>1621</v>
      </c>
      <c r="C1319" s="1823" t="s">
        <v>3464</v>
      </c>
      <c r="D1319" s="379" t="s">
        <v>3422</v>
      </c>
      <c r="E1319" s="1168">
        <v>0</v>
      </c>
      <c r="F1319" s="1168">
        <v>0</v>
      </c>
      <c r="G1319" s="1168">
        <v>1599955</v>
      </c>
      <c r="H1319" s="1168">
        <v>45</v>
      </c>
    </row>
    <row r="1320" spans="1:8" ht="12.75">
      <c r="A1320" s="1822" t="s">
        <v>1622</v>
      </c>
      <c r="B1320" s="379" t="s">
        <v>1623</v>
      </c>
      <c r="C1320" s="1823" t="s">
        <v>3485</v>
      </c>
      <c r="D1320" s="379" t="s">
        <v>3422</v>
      </c>
      <c r="E1320" s="1168">
        <v>0</v>
      </c>
      <c r="F1320" s="1168">
        <v>199000</v>
      </c>
      <c r="G1320" s="1168">
        <v>198983</v>
      </c>
      <c r="H1320" s="1168">
        <v>17</v>
      </c>
    </row>
    <row r="1321" spans="1:8" ht="12.75">
      <c r="A1321" s="1822" t="s">
        <v>1624</v>
      </c>
      <c r="B1321" s="379" t="s">
        <v>1625</v>
      </c>
      <c r="C1321" s="1823" t="s">
        <v>3471</v>
      </c>
      <c r="D1321" s="379" t="s">
        <v>3422</v>
      </c>
      <c r="E1321" s="1168">
        <v>0</v>
      </c>
      <c r="F1321" s="1168">
        <v>99000</v>
      </c>
      <c r="G1321" s="1168">
        <v>98952</v>
      </c>
      <c r="H1321" s="1168">
        <v>48</v>
      </c>
    </row>
    <row r="1322" spans="1:8" ht="12.75">
      <c r="A1322" s="1822" t="s">
        <v>1626</v>
      </c>
      <c r="B1322" s="379" t="s">
        <v>1627</v>
      </c>
      <c r="C1322" s="1823" t="s">
        <v>3479</v>
      </c>
      <c r="D1322" s="379" t="s">
        <v>3422</v>
      </c>
      <c r="E1322" s="1168">
        <v>0</v>
      </c>
      <c r="F1322" s="1168">
        <v>0</v>
      </c>
      <c r="G1322" s="1168">
        <v>308631</v>
      </c>
      <c r="H1322" s="1168">
        <v>0</v>
      </c>
    </row>
    <row r="1323" spans="1:8" ht="12.75">
      <c r="A1323" s="1822">
        <v>2142114106</v>
      </c>
      <c r="B1323" s="379" t="s">
        <v>1628</v>
      </c>
      <c r="C1323" s="1823" t="s">
        <v>3479</v>
      </c>
      <c r="D1323" s="379" t="s">
        <v>3422</v>
      </c>
      <c r="E1323" s="1168">
        <v>0</v>
      </c>
      <c r="F1323" s="1168">
        <v>0</v>
      </c>
      <c r="G1323" s="1168">
        <v>273040</v>
      </c>
      <c r="H1323" s="1168">
        <v>0</v>
      </c>
    </row>
    <row r="1324" spans="1:8" ht="12.75">
      <c r="A1324" s="1822" t="s">
        <v>1629</v>
      </c>
      <c r="B1324" s="379" t="s">
        <v>1630</v>
      </c>
      <c r="C1324" s="1823" t="s">
        <v>3469</v>
      </c>
      <c r="D1324" s="379" t="s">
        <v>3422</v>
      </c>
      <c r="E1324" s="1168">
        <v>0</v>
      </c>
      <c r="F1324" s="1168">
        <v>0</v>
      </c>
      <c r="G1324" s="1168">
        <v>500000</v>
      </c>
      <c r="H1324" s="1168">
        <v>0</v>
      </c>
    </row>
    <row r="1325" spans="1:8" ht="12.75">
      <c r="A1325" s="1822" t="s">
        <v>1631</v>
      </c>
      <c r="B1325" s="379" t="s">
        <v>1632</v>
      </c>
      <c r="C1325" s="1823" t="s">
        <v>3475</v>
      </c>
      <c r="D1325" s="379" t="s">
        <v>3422</v>
      </c>
      <c r="E1325" s="1168">
        <v>0</v>
      </c>
      <c r="F1325" s="1168">
        <v>0</v>
      </c>
      <c r="G1325" s="1168">
        <v>0</v>
      </c>
      <c r="H1325" s="1168">
        <v>2117244.9</v>
      </c>
    </row>
    <row r="1326" spans="1:8" s="174" customFormat="1" ht="12.75">
      <c r="A1326" s="1824" t="s">
        <v>1633</v>
      </c>
      <c r="B1326" s="1825"/>
      <c r="C1326" s="1825"/>
      <c r="D1326" s="1826"/>
      <c r="E1326" s="1821">
        <v>85626000</v>
      </c>
      <c r="F1326" s="1821">
        <v>92350000</v>
      </c>
      <c r="G1326" s="1821">
        <v>97441671.77</v>
      </c>
      <c r="H1326" s="1821">
        <v>3208607.53</v>
      </c>
    </row>
    <row r="1327" spans="1:8" ht="12.75">
      <c r="A1327" s="1822">
        <v>2142120001</v>
      </c>
      <c r="B1327" s="379" t="s">
        <v>1634</v>
      </c>
      <c r="C1327" s="1823" t="s">
        <v>3461</v>
      </c>
      <c r="D1327" s="379" t="s">
        <v>3422</v>
      </c>
      <c r="E1327" s="1168">
        <v>15000000</v>
      </c>
      <c r="F1327" s="1168">
        <v>0</v>
      </c>
      <c r="G1327" s="1168">
        <v>0</v>
      </c>
      <c r="H1327" s="1168">
        <v>0</v>
      </c>
    </row>
    <row r="1328" spans="1:8" ht="12.75">
      <c r="A1328" s="1822">
        <v>2142120025</v>
      </c>
      <c r="B1328" s="379" t="s">
        <v>1635</v>
      </c>
      <c r="C1328" s="1823" t="s">
        <v>3471</v>
      </c>
      <c r="D1328" s="379" t="s">
        <v>3422</v>
      </c>
      <c r="E1328" s="1168">
        <v>0</v>
      </c>
      <c r="F1328" s="1168">
        <v>0</v>
      </c>
      <c r="G1328" s="1168">
        <v>0</v>
      </c>
      <c r="H1328" s="1168">
        <v>0</v>
      </c>
    </row>
    <row r="1329" spans="1:8" ht="12.75">
      <c r="A1329" s="1822" t="s">
        <v>1636</v>
      </c>
      <c r="B1329" s="379" t="s">
        <v>1635</v>
      </c>
      <c r="C1329" s="1823" t="s">
        <v>3471</v>
      </c>
      <c r="D1329" s="379" t="s">
        <v>3422</v>
      </c>
      <c r="E1329" s="1168">
        <v>0</v>
      </c>
      <c r="F1329" s="1168">
        <v>4931000</v>
      </c>
      <c r="G1329" s="1168">
        <v>970249.2</v>
      </c>
      <c r="H1329" s="1168">
        <v>3960750.8</v>
      </c>
    </row>
    <row r="1330" spans="1:8" ht="12.75">
      <c r="A1330" s="1822" t="s">
        <v>1637</v>
      </c>
      <c r="B1330" s="379" t="s">
        <v>1638</v>
      </c>
      <c r="C1330" s="1823" t="s">
        <v>2645</v>
      </c>
      <c r="D1330" s="379" t="s">
        <v>3422</v>
      </c>
      <c r="E1330" s="1168">
        <v>7300000</v>
      </c>
      <c r="F1330" s="1168">
        <v>10541000</v>
      </c>
      <c r="G1330" s="1168">
        <v>10540310</v>
      </c>
      <c r="H1330" s="1168">
        <v>690</v>
      </c>
    </row>
    <row r="1331" spans="1:8" ht="12.75">
      <c r="A1331" s="1822" t="s">
        <v>1639</v>
      </c>
      <c r="B1331" s="379" t="s">
        <v>1640</v>
      </c>
      <c r="C1331" s="1823" t="s">
        <v>2645</v>
      </c>
      <c r="D1331" s="379" t="s">
        <v>3422</v>
      </c>
      <c r="E1331" s="1168">
        <v>600000</v>
      </c>
      <c r="F1331" s="1168">
        <v>655000</v>
      </c>
      <c r="G1331" s="1168">
        <v>653723.6</v>
      </c>
      <c r="H1331" s="1168">
        <v>1276.4</v>
      </c>
    </row>
    <row r="1332" spans="1:8" ht="12.75">
      <c r="A1332" s="1822" t="s">
        <v>1641</v>
      </c>
      <c r="B1332" s="379" t="s">
        <v>1642</v>
      </c>
      <c r="C1332" s="1823" t="s">
        <v>2645</v>
      </c>
      <c r="D1332" s="379" t="s">
        <v>3422</v>
      </c>
      <c r="E1332" s="1168">
        <v>2000000</v>
      </c>
      <c r="F1332" s="1168">
        <v>2403000</v>
      </c>
      <c r="G1332" s="1168">
        <v>2402562</v>
      </c>
      <c r="H1332" s="1168">
        <v>438</v>
      </c>
    </row>
    <row r="1333" spans="1:8" ht="12.75">
      <c r="A1333" s="1822" t="s">
        <v>1643</v>
      </c>
      <c r="B1333" s="379" t="s">
        <v>1644</v>
      </c>
      <c r="C1333" s="1823" t="s">
        <v>3462</v>
      </c>
      <c r="D1333" s="379" t="s">
        <v>3422</v>
      </c>
      <c r="E1333" s="1168">
        <v>800000</v>
      </c>
      <c r="F1333" s="1168">
        <v>799000</v>
      </c>
      <c r="G1333" s="1168">
        <v>798620</v>
      </c>
      <c r="H1333" s="1168">
        <v>380</v>
      </c>
    </row>
    <row r="1334" spans="1:8" ht="12.75">
      <c r="A1334" s="1822" t="s">
        <v>1645</v>
      </c>
      <c r="B1334" s="379" t="s">
        <v>1646</v>
      </c>
      <c r="C1334" s="1823" t="s">
        <v>3466</v>
      </c>
      <c r="D1334" s="379" t="s">
        <v>3422</v>
      </c>
      <c r="E1334" s="1168">
        <v>1100000</v>
      </c>
      <c r="F1334" s="1168">
        <v>1095000</v>
      </c>
      <c r="G1334" s="1168">
        <v>1094023</v>
      </c>
      <c r="H1334" s="1168">
        <v>977</v>
      </c>
    </row>
    <row r="1335" spans="1:8" ht="12.75">
      <c r="A1335" s="1822" t="s">
        <v>1647</v>
      </c>
      <c r="B1335" s="379" t="s">
        <v>1648</v>
      </c>
      <c r="C1335" s="1823" t="s">
        <v>3468</v>
      </c>
      <c r="D1335" s="379" t="s">
        <v>3422</v>
      </c>
      <c r="E1335" s="1168">
        <v>4949000</v>
      </c>
      <c r="F1335" s="1168">
        <v>8111000</v>
      </c>
      <c r="G1335" s="1168">
        <v>8108731</v>
      </c>
      <c r="H1335" s="1168">
        <v>2269</v>
      </c>
    </row>
    <row r="1336" spans="1:8" ht="12.75">
      <c r="A1336" s="1822" t="s">
        <v>1649</v>
      </c>
      <c r="B1336" s="379" t="s">
        <v>1650</v>
      </c>
      <c r="C1336" s="1823" t="s">
        <v>3469</v>
      </c>
      <c r="D1336" s="379" t="s">
        <v>3422</v>
      </c>
      <c r="E1336" s="1168">
        <v>4860000</v>
      </c>
      <c r="F1336" s="1168">
        <v>4860000</v>
      </c>
      <c r="G1336" s="1168">
        <v>2060171</v>
      </c>
      <c r="H1336" s="1168">
        <v>2799829</v>
      </c>
    </row>
    <row r="1337" spans="1:8" ht="12.75">
      <c r="A1337" s="1822" t="s">
        <v>1651</v>
      </c>
      <c r="B1337" s="379" t="s">
        <v>1652</v>
      </c>
      <c r="C1337" s="1823" t="s">
        <v>3471</v>
      </c>
      <c r="D1337" s="379" t="s">
        <v>3422</v>
      </c>
      <c r="E1337" s="1168">
        <v>70000</v>
      </c>
      <c r="F1337" s="1168">
        <v>67000</v>
      </c>
      <c r="G1337" s="1168">
        <v>66921.1</v>
      </c>
      <c r="H1337" s="1168">
        <v>78.9</v>
      </c>
    </row>
    <row r="1338" spans="1:8" ht="12.75">
      <c r="A1338" s="1822" t="s">
        <v>1653</v>
      </c>
      <c r="B1338" s="379" t="s">
        <v>1654</v>
      </c>
      <c r="C1338" s="1823" t="s">
        <v>3471</v>
      </c>
      <c r="D1338" s="379" t="s">
        <v>3422</v>
      </c>
      <c r="E1338" s="1168">
        <v>70000</v>
      </c>
      <c r="F1338" s="1168">
        <v>65000</v>
      </c>
      <c r="G1338" s="1168">
        <v>63376</v>
      </c>
      <c r="H1338" s="1168">
        <v>1624</v>
      </c>
    </row>
    <row r="1339" spans="1:8" ht="12.75">
      <c r="A1339" s="1822">
        <v>2142124010</v>
      </c>
      <c r="B1339" s="379" t="s">
        <v>1655</v>
      </c>
      <c r="C1339" s="1823" t="s">
        <v>3471</v>
      </c>
      <c r="D1339" s="379" t="s">
        <v>3422</v>
      </c>
      <c r="E1339" s="1168">
        <v>5760000</v>
      </c>
      <c r="F1339" s="1168">
        <v>0</v>
      </c>
      <c r="G1339" s="1168">
        <v>0</v>
      </c>
      <c r="H1339" s="1168">
        <v>0</v>
      </c>
    </row>
    <row r="1340" spans="1:8" ht="12.75">
      <c r="A1340" s="1822" t="s">
        <v>1656</v>
      </c>
      <c r="B1340" s="379" t="s">
        <v>1657</v>
      </c>
      <c r="C1340" s="1823" t="s">
        <v>3471</v>
      </c>
      <c r="D1340" s="379" t="s">
        <v>3422</v>
      </c>
      <c r="E1340" s="1168">
        <v>9224000</v>
      </c>
      <c r="F1340" s="1168">
        <v>4689000</v>
      </c>
      <c r="G1340" s="1168">
        <v>288750</v>
      </c>
      <c r="H1340" s="1168">
        <v>4400250</v>
      </c>
    </row>
    <row r="1341" spans="1:8" ht="12.75">
      <c r="A1341" s="1822" t="s">
        <v>1658</v>
      </c>
      <c r="B1341" s="379" t="s">
        <v>1659</v>
      </c>
      <c r="C1341" s="1823" t="s">
        <v>3473</v>
      </c>
      <c r="D1341" s="379" t="s">
        <v>3422</v>
      </c>
      <c r="E1341" s="1168">
        <v>2500000</v>
      </c>
      <c r="F1341" s="1168">
        <v>477000</v>
      </c>
      <c r="G1341" s="1168">
        <v>376540</v>
      </c>
      <c r="H1341" s="1168">
        <v>100460</v>
      </c>
    </row>
    <row r="1342" spans="1:8" ht="12.75">
      <c r="A1342" s="1822" t="s">
        <v>1660</v>
      </c>
      <c r="B1342" s="379" t="s">
        <v>1661</v>
      </c>
      <c r="C1342" s="1823" t="s">
        <v>3477</v>
      </c>
      <c r="D1342" s="379" t="s">
        <v>3422</v>
      </c>
      <c r="E1342" s="1168">
        <v>50000</v>
      </c>
      <c r="F1342" s="1168">
        <v>50000</v>
      </c>
      <c r="G1342" s="1168">
        <v>0</v>
      </c>
      <c r="H1342" s="1168">
        <v>50000</v>
      </c>
    </row>
    <row r="1343" spans="1:8" ht="12.75">
      <c r="A1343" s="1822" t="s">
        <v>1662</v>
      </c>
      <c r="B1343" s="379" t="s">
        <v>1663</v>
      </c>
      <c r="C1343" s="1823" t="s">
        <v>3477</v>
      </c>
      <c r="D1343" s="379" t="s">
        <v>3422</v>
      </c>
      <c r="E1343" s="1168">
        <v>70000</v>
      </c>
      <c r="F1343" s="1168">
        <v>55000</v>
      </c>
      <c r="G1343" s="1168">
        <v>54570</v>
      </c>
      <c r="H1343" s="1168">
        <v>430</v>
      </c>
    </row>
    <row r="1344" spans="1:8" ht="12.75">
      <c r="A1344" s="1822" t="s">
        <v>1664</v>
      </c>
      <c r="B1344" s="379" t="s">
        <v>1665</v>
      </c>
      <c r="C1344" s="1823" t="s">
        <v>3481</v>
      </c>
      <c r="D1344" s="379" t="s">
        <v>3422</v>
      </c>
      <c r="E1344" s="1168">
        <v>420000</v>
      </c>
      <c r="F1344" s="1168">
        <v>798000</v>
      </c>
      <c r="G1344" s="1168">
        <v>797798</v>
      </c>
      <c r="H1344" s="1168">
        <v>202</v>
      </c>
    </row>
    <row r="1345" spans="1:8" ht="12.75">
      <c r="A1345" s="1822">
        <v>2142124016</v>
      </c>
      <c r="B1345" s="379" t="s">
        <v>1666</v>
      </c>
      <c r="C1345" s="1823" t="s">
        <v>3481</v>
      </c>
      <c r="D1345" s="379" t="s">
        <v>3422</v>
      </c>
      <c r="E1345" s="1168">
        <v>380000</v>
      </c>
      <c r="F1345" s="1168">
        <v>0</v>
      </c>
      <c r="G1345" s="1168">
        <v>0</v>
      </c>
      <c r="H1345" s="1168">
        <v>0</v>
      </c>
    </row>
    <row r="1346" spans="1:8" ht="12.75">
      <c r="A1346" s="1822" t="s">
        <v>1667</v>
      </c>
      <c r="B1346" s="379" t="s">
        <v>1668</v>
      </c>
      <c r="C1346" s="1823" t="s">
        <v>3481</v>
      </c>
      <c r="D1346" s="379" t="s">
        <v>3422</v>
      </c>
      <c r="E1346" s="1168">
        <v>300000</v>
      </c>
      <c r="F1346" s="1168">
        <v>300000</v>
      </c>
      <c r="G1346" s="1168">
        <v>0</v>
      </c>
      <c r="H1346" s="1168">
        <v>300000</v>
      </c>
    </row>
    <row r="1347" spans="1:8" ht="12.75">
      <c r="A1347" s="1822">
        <v>2142124018</v>
      </c>
      <c r="B1347" s="379" t="s">
        <v>1669</v>
      </c>
      <c r="C1347" s="1823" t="s">
        <v>3481</v>
      </c>
      <c r="D1347" s="379" t="s">
        <v>3422</v>
      </c>
      <c r="E1347" s="1168">
        <v>2000000</v>
      </c>
      <c r="F1347" s="1168">
        <v>0</v>
      </c>
      <c r="G1347" s="1168">
        <v>0</v>
      </c>
      <c r="H1347" s="1168">
        <v>0</v>
      </c>
    </row>
    <row r="1348" spans="1:8" ht="12.75">
      <c r="A1348" s="1822" t="s">
        <v>1670</v>
      </c>
      <c r="B1348" s="379" t="s">
        <v>1671</v>
      </c>
      <c r="C1348" s="1823" t="s">
        <v>3487</v>
      </c>
      <c r="D1348" s="379" t="s">
        <v>3422</v>
      </c>
      <c r="E1348" s="1168">
        <v>800000</v>
      </c>
      <c r="F1348" s="1168">
        <v>674000</v>
      </c>
      <c r="G1348" s="1168">
        <v>672757</v>
      </c>
      <c r="H1348" s="1168">
        <v>1243</v>
      </c>
    </row>
    <row r="1349" spans="1:8" ht="12.75">
      <c r="A1349" s="1822" t="s">
        <v>1672</v>
      </c>
      <c r="B1349" s="379" t="s">
        <v>1673</v>
      </c>
      <c r="C1349" s="1823" t="s">
        <v>3483</v>
      </c>
      <c r="D1349" s="379" t="s">
        <v>3422</v>
      </c>
      <c r="E1349" s="1168">
        <v>800000</v>
      </c>
      <c r="F1349" s="1168">
        <v>721000</v>
      </c>
      <c r="G1349" s="1168">
        <v>720601.85</v>
      </c>
      <c r="H1349" s="1168">
        <v>398.15</v>
      </c>
    </row>
    <row r="1350" spans="1:8" ht="12.75">
      <c r="A1350" s="1822" t="s">
        <v>1674</v>
      </c>
      <c r="B1350" s="379" t="s">
        <v>1675</v>
      </c>
      <c r="C1350" s="1823" t="s">
        <v>3483</v>
      </c>
      <c r="D1350" s="379" t="s">
        <v>3422</v>
      </c>
      <c r="E1350" s="1168">
        <v>10000000</v>
      </c>
      <c r="F1350" s="1168">
        <v>11113000</v>
      </c>
      <c r="G1350" s="1168">
        <v>11111766</v>
      </c>
      <c r="H1350" s="1168">
        <v>1234</v>
      </c>
    </row>
    <row r="1351" spans="1:8" ht="12.75">
      <c r="A1351" s="1822" t="s">
        <v>1676</v>
      </c>
      <c r="B1351" s="379" t="s">
        <v>1677</v>
      </c>
      <c r="C1351" s="1823" t="s">
        <v>3485</v>
      </c>
      <c r="D1351" s="379" t="s">
        <v>3422</v>
      </c>
      <c r="E1351" s="1168">
        <v>800000</v>
      </c>
      <c r="F1351" s="1168">
        <v>825000</v>
      </c>
      <c r="G1351" s="1168">
        <v>824793.4</v>
      </c>
      <c r="H1351" s="1168">
        <v>206.6</v>
      </c>
    </row>
    <row r="1352" spans="1:8" ht="12.75">
      <c r="A1352" s="1822" t="s">
        <v>1678</v>
      </c>
      <c r="B1352" s="379" t="s">
        <v>1679</v>
      </c>
      <c r="C1352" s="1823" t="s">
        <v>3485</v>
      </c>
      <c r="D1352" s="379" t="s">
        <v>3422</v>
      </c>
      <c r="E1352" s="1168">
        <v>3487000</v>
      </c>
      <c r="F1352" s="1168">
        <v>3462000</v>
      </c>
      <c r="G1352" s="1168">
        <v>48790</v>
      </c>
      <c r="H1352" s="1168">
        <v>3413210</v>
      </c>
    </row>
    <row r="1353" spans="1:8" ht="12.75">
      <c r="A1353" s="1822" t="s">
        <v>1680</v>
      </c>
      <c r="B1353" s="379" t="s">
        <v>1681</v>
      </c>
      <c r="C1353" s="1823" t="s">
        <v>2645</v>
      </c>
      <c r="D1353" s="379" t="s">
        <v>3422</v>
      </c>
      <c r="E1353" s="1168">
        <v>0</v>
      </c>
      <c r="F1353" s="1168">
        <v>203000</v>
      </c>
      <c r="G1353" s="1168">
        <v>202068</v>
      </c>
      <c r="H1353" s="1168">
        <v>932</v>
      </c>
    </row>
    <row r="1354" spans="1:8" ht="12.75">
      <c r="A1354" s="1822" t="s">
        <v>1682</v>
      </c>
      <c r="B1354" s="379" t="s">
        <v>1683</v>
      </c>
      <c r="C1354" s="1823" t="s">
        <v>2645</v>
      </c>
      <c r="D1354" s="379" t="s">
        <v>3422</v>
      </c>
      <c r="E1354" s="1168">
        <v>0</v>
      </c>
      <c r="F1354" s="1168">
        <v>225000</v>
      </c>
      <c r="G1354" s="1168">
        <v>224787.4</v>
      </c>
      <c r="H1354" s="1168">
        <v>212.6</v>
      </c>
    </row>
    <row r="1355" spans="1:8" ht="12.75">
      <c r="A1355" s="1822" t="s">
        <v>1684</v>
      </c>
      <c r="B1355" s="379" t="s">
        <v>1685</v>
      </c>
      <c r="C1355" s="1823" t="s">
        <v>3464</v>
      </c>
      <c r="D1355" s="379" t="s">
        <v>3422</v>
      </c>
      <c r="E1355" s="1168">
        <v>0</v>
      </c>
      <c r="F1355" s="1168">
        <v>2000</v>
      </c>
      <c r="G1355" s="1168">
        <v>1270</v>
      </c>
      <c r="H1355" s="1168">
        <v>730</v>
      </c>
    </row>
    <row r="1356" spans="1:8" ht="12.75">
      <c r="A1356" s="1822" t="s">
        <v>1686</v>
      </c>
      <c r="B1356" s="379" t="s">
        <v>1687</v>
      </c>
      <c r="C1356" s="1823" t="s">
        <v>3475</v>
      </c>
      <c r="D1356" s="379" t="s">
        <v>3422</v>
      </c>
      <c r="E1356" s="1168">
        <v>0</v>
      </c>
      <c r="F1356" s="1168">
        <v>0</v>
      </c>
      <c r="G1356" s="1168">
        <v>400000</v>
      </c>
      <c r="H1356" s="1168">
        <v>0</v>
      </c>
    </row>
    <row r="1357" spans="1:8" ht="12.75">
      <c r="A1357" s="1822" t="s">
        <v>1688</v>
      </c>
      <c r="B1357" s="379" t="s">
        <v>1689</v>
      </c>
      <c r="C1357" s="1823" t="s">
        <v>3475</v>
      </c>
      <c r="D1357" s="379" t="s">
        <v>3422</v>
      </c>
      <c r="E1357" s="1168">
        <v>0</v>
      </c>
      <c r="F1357" s="1168">
        <v>0</v>
      </c>
      <c r="G1357" s="1168">
        <v>276570</v>
      </c>
      <c r="H1357" s="1168">
        <v>430</v>
      </c>
    </row>
    <row r="1358" spans="1:8" ht="12.75">
      <c r="A1358" s="1822" t="s">
        <v>1690</v>
      </c>
      <c r="B1358" s="379" t="s">
        <v>1691</v>
      </c>
      <c r="C1358" s="1823" t="s">
        <v>3479</v>
      </c>
      <c r="D1358" s="379" t="s">
        <v>3422</v>
      </c>
      <c r="E1358" s="1168">
        <v>0</v>
      </c>
      <c r="F1358" s="1168">
        <v>0</v>
      </c>
      <c r="G1358" s="1168">
        <v>59193</v>
      </c>
      <c r="H1358" s="1168">
        <v>0</v>
      </c>
    </row>
    <row r="1359" spans="1:8" ht="12.75">
      <c r="A1359" s="1822" t="s">
        <v>1692</v>
      </c>
      <c r="B1359" s="379" t="s">
        <v>1693</v>
      </c>
      <c r="C1359" s="1823" t="s">
        <v>3473</v>
      </c>
      <c r="D1359" s="379" t="s">
        <v>3422</v>
      </c>
      <c r="E1359" s="1168">
        <v>0</v>
      </c>
      <c r="F1359" s="1168">
        <v>465000</v>
      </c>
      <c r="G1359" s="1168">
        <v>465000</v>
      </c>
      <c r="H1359" s="1168">
        <v>0</v>
      </c>
    </row>
    <row r="1360" spans="1:8" ht="12.75">
      <c r="A1360" s="1822" t="s">
        <v>1694</v>
      </c>
      <c r="B1360" s="379" t="s">
        <v>1695</v>
      </c>
      <c r="C1360" s="1823" t="s">
        <v>2645</v>
      </c>
      <c r="D1360" s="379" t="s">
        <v>3422</v>
      </c>
      <c r="E1360" s="1168">
        <v>0</v>
      </c>
      <c r="F1360" s="1168">
        <v>219000</v>
      </c>
      <c r="G1360" s="1168">
        <v>218722</v>
      </c>
      <c r="H1360" s="1168">
        <v>278</v>
      </c>
    </row>
    <row r="1361" spans="1:8" ht="12.75">
      <c r="A1361" s="1822" t="s">
        <v>1696</v>
      </c>
      <c r="B1361" s="379" t="s">
        <v>1697</v>
      </c>
      <c r="C1361" s="1823" t="s">
        <v>2645</v>
      </c>
      <c r="D1361" s="379" t="s">
        <v>3422</v>
      </c>
      <c r="E1361" s="1168">
        <v>0</v>
      </c>
      <c r="F1361" s="1168">
        <v>225000</v>
      </c>
      <c r="G1361" s="1168">
        <v>224874</v>
      </c>
      <c r="H1361" s="1168">
        <v>126</v>
      </c>
    </row>
    <row r="1362" spans="1:8" ht="12.75">
      <c r="A1362" s="1822" t="s">
        <v>1698</v>
      </c>
      <c r="B1362" s="379" t="s">
        <v>1699</v>
      </c>
      <c r="C1362" s="1823" t="s">
        <v>3485</v>
      </c>
      <c r="D1362" s="379" t="s">
        <v>3422</v>
      </c>
      <c r="E1362" s="1168">
        <v>0</v>
      </c>
      <c r="F1362" s="1168">
        <v>0</v>
      </c>
      <c r="G1362" s="1168">
        <v>1046011</v>
      </c>
      <c r="H1362" s="1168">
        <v>0</v>
      </c>
    </row>
    <row r="1363" spans="1:8" ht="12.75">
      <c r="A1363" s="1822" t="s">
        <v>1700</v>
      </c>
      <c r="B1363" s="379" t="s">
        <v>1701</v>
      </c>
      <c r="C1363" s="1823" t="s">
        <v>3473</v>
      </c>
      <c r="D1363" s="379" t="s">
        <v>3422</v>
      </c>
      <c r="E1363" s="1168">
        <v>0</v>
      </c>
      <c r="F1363" s="1168">
        <v>241000</v>
      </c>
      <c r="G1363" s="1168">
        <v>240987</v>
      </c>
      <c r="H1363" s="1168">
        <v>13</v>
      </c>
    </row>
    <row r="1364" spans="1:8" ht="12.75">
      <c r="A1364" s="1822" t="s">
        <v>1702</v>
      </c>
      <c r="B1364" s="379" t="s">
        <v>1703</v>
      </c>
      <c r="C1364" s="1823" t="s">
        <v>2645</v>
      </c>
      <c r="D1364" s="379" t="s">
        <v>3422</v>
      </c>
      <c r="E1364" s="1168">
        <v>0</v>
      </c>
      <c r="F1364" s="1168">
        <v>20200000</v>
      </c>
      <c r="G1364" s="1168">
        <v>479400</v>
      </c>
      <c r="H1364" s="1168">
        <v>19720600</v>
      </c>
    </row>
    <row r="1365" spans="1:8" ht="12.75">
      <c r="A1365" s="1822" t="s">
        <v>1704</v>
      </c>
      <c r="B1365" s="379" t="s">
        <v>1705</v>
      </c>
      <c r="C1365" s="1823" t="s">
        <v>3468</v>
      </c>
      <c r="D1365" s="379" t="s">
        <v>3422</v>
      </c>
      <c r="E1365" s="1168">
        <v>0</v>
      </c>
      <c r="F1365" s="1168">
        <v>449000</v>
      </c>
      <c r="G1365" s="1168">
        <v>448922</v>
      </c>
      <c r="H1365" s="1168">
        <v>78</v>
      </c>
    </row>
    <row r="1366" spans="1:8" ht="12.75">
      <c r="A1366" s="1822" t="s">
        <v>1706</v>
      </c>
      <c r="B1366" s="379" t="s">
        <v>1707</v>
      </c>
      <c r="C1366" s="1823" t="s">
        <v>3473</v>
      </c>
      <c r="D1366" s="379" t="s">
        <v>3422</v>
      </c>
      <c r="E1366" s="1168">
        <v>0</v>
      </c>
      <c r="F1366" s="1168">
        <v>160000</v>
      </c>
      <c r="G1366" s="1168">
        <v>159246</v>
      </c>
      <c r="H1366" s="1168">
        <v>754</v>
      </c>
    </row>
    <row r="1367" spans="1:8" ht="12.75">
      <c r="A1367" s="1822" t="s">
        <v>1708</v>
      </c>
      <c r="B1367" s="379" t="s">
        <v>1709</v>
      </c>
      <c r="C1367" s="1823" t="s">
        <v>3477</v>
      </c>
      <c r="D1367" s="379" t="s">
        <v>3422</v>
      </c>
      <c r="E1367" s="1168">
        <v>0</v>
      </c>
      <c r="F1367" s="1168">
        <v>1268000</v>
      </c>
      <c r="G1367" s="1168">
        <v>1267311</v>
      </c>
      <c r="H1367" s="1168">
        <v>689</v>
      </c>
    </row>
    <row r="1368" spans="1:8" ht="12.75">
      <c r="A1368" s="1822" t="s">
        <v>1710</v>
      </c>
      <c r="B1368" s="379" t="s">
        <v>1711</v>
      </c>
      <c r="C1368" s="1823" t="s">
        <v>3464</v>
      </c>
      <c r="D1368" s="379" t="s">
        <v>3422</v>
      </c>
      <c r="E1368" s="1168">
        <v>0</v>
      </c>
      <c r="F1368" s="1168">
        <v>0</v>
      </c>
      <c r="G1368" s="1168">
        <v>2499711</v>
      </c>
      <c r="H1368" s="1168">
        <v>289</v>
      </c>
    </row>
    <row r="1369" spans="1:8" ht="12.75">
      <c r="A1369" s="1822" t="s">
        <v>1712</v>
      </c>
      <c r="B1369" s="379" t="s">
        <v>1713</v>
      </c>
      <c r="C1369" s="1823" t="s">
        <v>3479</v>
      </c>
      <c r="D1369" s="379" t="s">
        <v>3422</v>
      </c>
      <c r="E1369" s="1168">
        <v>0</v>
      </c>
      <c r="F1369" s="1168">
        <v>0</v>
      </c>
      <c r="G1369" s="1168">
        <v>297701</v>
      </c>
      <c r="H1369" s="1168">
        <v>0</v>
      </c>
    </row>
    <row r="1370" spans="1:8" ht="12.75">
      <c r="A1370" s="1822" t="s">
        <v>1714</v>
      </c>
      <c r="B1370" s="379" t="s">
        <v>1715</v>
      </c>
      <c r="C1370" s="1823" t="s">
        <v>3469</v>
      </c>
      <c r="D1370" s="379" t="s">
        <v>3422</v>
      </c>
      <c r="E1370" s="1168">
        <v>0</v>
      </c>
      <c r="F1370" s="1168">
        <v>0</v>
      </c>
      <c r="G1370" s="1168">
        <v>192066</v>
      </c>
      <c r="H1370" s="1168">
        <v>0</v>
      </c>
    </row>
    <row r="1371" spans="1:8" ht="12.75">
      <c r="A1371" s="1822" t="s">
        <v>1716</v>
      </c>
      <c r="B1371" s="379" t="s">
        <v>1717</v>
      </c>
      <c r="C1371" s="1823" t="s">
        <v>3469</v>
      </c>
      <c r="D1371" s="379" t="s">
        <v>3422</v>
      </c>
      <c r="E1371" s="1168">
        <v>0</v>
      </c>
      <c r="F1371" s="1168">
        <v>0</v>
      </c>
      <c r="G1371" s="1168">
        <v>964000</v>
      </c>
      <c r="H1371" s="1168">
        <v>0</v>
      </c>
    </row>
    <row r="1372" spans="1:8" ht="12.75">
      <c r="A1372" s="1822" t="s">
        <v>1718</v>
      </c>
      <c r="B1372" s="379" t="s">
        <v>1719</v>
      </c>
      <c r="C1372" s="1823" t="s">
        <v>3481</v>
      </c>
      <c r="D1372" s="379" t="s">
        <v>3422</v>
      </c>
      <c r="E1372" s="1168">
        <v>0</v>
      </c>
      <c r="F1372" s="1168">
        <v>2919000</v>
      </c>
      <c r="G1372" s="1168">
        <v>2918480</v>
      </c>
      <c r="H1372" s="1168">
        <v>520</v>
      </c>
    </row>
    <row r="1373" spans="1:8" ht="12.75">
      <c r="A1373" s="1822" t="s">
        <v>1720</v>
      </c>
      <c r="B1373" s="379" t="s">
        <v>1721</v>
      </c>
      <c r="C1373" s="1823" t="s">
        <v>2645</v>
      </c>
      <c r="D1373" s="379" t="s">
        <v>3422</v>
      </c>
      <c r="E1373" s="1168">
        <v>0</v>
      </c>
      <c r="F1373" s="1168">
        <v>16979000</v>
      </c>
      <c r="G1373" s="1168">
        <v>401989</v>
      </c>
      <c r="H1373" s="1168">
        <v>16577011</v>
      </c>
    </row>
    <row r="1374" spans="1:8" ht="12.75">
      <c r="A1374" s="1822">
        <v>2142124045</v>
      </c>
      <c r="B1374" s="379" t="s">
        <v>1722</v>
      </c>
      <c r="C1374" s="1823" t="s">
        <v>3479</v>
      </c>
      <c r="D1374" s="379" t="s">
        <v>3422</v>
      </c>
      <c r="E1374" s="1168">
        <v>0</v>
      </c>
      <c r="F1374" s="1168">
        <v>0</v>
      </c>
      <c r="G1374" s="1168">
        <v>0</v>
      </c>
      <c r="H1374" s="1168">
        <v>0</v>
      </c>
    </row>
    <row r="1375" spans="1:8" ht="12.75">
      <c r="A1375" s="1822" t="s">
        <v>1723</v>
      </c>
      <c r="B1375" s="379" t="s">
        <v>1724</v>
      </c>
      <c r="C1375" s="1823" t="s">
        <v>3485</v>
      </c>
      <c r="D1375" s="379" t="s">
        <v>3422</v>
      </c>
      <c r="E1375" s="1168">
        <v>0</v>
      </c>
      <c r="F1375" s="1168">
        <v>0</v>
      </c>
      <c r="G1375" s="1168">
        <v>487689</v>
      </c>
      <c r="H1375" s="1168">
        <v>0</v>
      </c>
    </row>
    <row r="1376" spans="1:8" ht="12.75">
      <c r="A1376" s="1822" t="s">
        <v>1725</v>
      </c>
      <c r="B1376" s="379" t="s">
        <v>1726</v>
      </c>
      <c r="C1376" s="1823" t="s">
        <v>3485</v>
      </c>
      <c r="D1376" s="379" t="s">
        <v>3422</v>
      </c>
      <c r="E1376" s="1168">
        <v>0</v>
      </c>
      <c r="F1376" s="1168">
        <v>0</v>
      </c>
      <c r="G1376" s="1168">
        <v>100000</v>
      </c>
      <c r="H1376" s="1168">
        <v>0</v>
      </c>
    </row>
    <row r="1377" spans="1:8" s="174" customFormat="1" ht="12.75">
      <c r="A1377" s="1824" t="s">
        <v>1727</v>
      </c>
      <c r="B1377" s="1825"/>
      <c r="C1377" s="1825"/>
      <c r="D1377" s="1826"/>
      <c r="E1377" s="1821">
        <v>73340000</v>
      </c>
      <c r="F1377" s="1821">
        <v>100246000</v>
      </c>
      <c r="G1377" s="1821">
        <v>55231050.55</v>
      </c>
      <c r="H1377" s="1821">
        <v>51338609.45</v>
      </c>
    </row>
    <row r="1378" spans="1:8" ht="12.75">
      <c r="A1378" s="1822" t="s">
        <v>1728</v>
      </c>
      <c r="B1378" s="379" t="s">
        <v>1729</v>
      </c>
      <c r="C1378" s="1823" t="s">
        <v>3481</v>
      </c>
      <c r="D1378" s="379" t="s">
        <v>3422</v>
      </c>
      <c r="E1378" s="1168">
        <v>0</v>
      </c>
      <c r="F1378" s="1168">
        <v>11705000</v>
      </c>
      <c r="G1378" s="1168">
        <v>11704840</v>
      </c>
      <c r="H1378" s="1168">
        <v>160</v>
      </c>
    </row>
    <row r="1379" spans="1:8" ht="12.75">
      <c r="A1379" s="1822" t="s">
        <v>1730</v>
      </c>
      <c r="B1379" s="379" t="s">
        <v>1731</v>
      </c>
      <c r="C1379" s="1823" t="s">
        <v>2645</v>
      </c>
      <c r="D1379" s="379" t="s">
        <v>3422</v>
      </c>
      <c r="E1379" s="1168">
        <v>2000000</v>
      </c>
      <c r="F1379" s="1168">
        <v>1980000</v>
      </c>
      <c r="G1379" s="1168">
        <v>1960231</v>
      </c>
      <c r="H1379" s="1168">
        <v>19769</v>
      </c>
    </row>
    <row r="1380" spans="1:8" ht="12.75">
      <c r="A1380" s="1822" t="s">
        <v>1732</v>
      </c>
      <c r="B1380" s="379" t="s">
        <v>1733</v>
      </c>
      <c r="C1380" s="1823" t="s">
        <v>2645</v>
      </c>
      <c r="D1380" s="379" t="s">
        <v>3422</v>
      </c>
      <c r="E1380" s="1168">
        <v>20995000</v>
      </c>
      <c r="F1380" s="1168">
        <v>22274000</v>
      </c>
      <c r="G1380" s="1168">
        <v>18316444.9</v>
      </c>
      <c r="H1380" s="1168">
        <v>3957555.1</v>
      </c>
    </row>
    <row r="1381" spans="1:8" ht="12.75">
      <c r="A1381" s="1822" t="s">
        <v>1734</v>
      </c>
      <c r="B1381" s="379" t="s">
        <v>1735</v>
      </c>
      <c r="C1381" s="1823" t="s">
        <v>2645</v>
      </c>
      <c r="D1381" s="379" t="s">
        <v>3422</v>
      </c>
      <c r="E1381" s="1168">
        <v>5359000</v>
      </c>
      <c r="F1381" s="1168">
        <v>5294000</v>
      </c>
      <c r="G1381" s="1168">
        <v>5293381.29</v>
      </c>
      <c r="H1381" s="1168">
        <v>618.71</v>
      </c>
    </row>
    <row r="1382" spans="1:8" ht="12.75">
      <c r="A1382" s="1822" t="s">
        <v>1736</v>
      </c>
      <c r="B1382" s="379" t="s">
        <v>1737</v>
      </c>
      <c r="C1382" s="1823" t="s">
        <v>2645</v>
      </c>
      <c r="D1382" s="379" t="s">
        <v>3422</v>
      </c>
      <c r="E1382" s="1168">
        <v>3666000</v>
      </c>
      <c r="F1382" s="1168">
        <v>2549000</v>
      </c>
      <c r="G1382" s="1168">
        <v>2548892</v>
      </c>
      <c r="H1382" s="1168">
        <v>108</v>
      </c>
    </row>
    <row r="1383" spans="1:8" ht="12.75">
      <c r="A1383" s="1822" t="s">
        <v>1738</v>
      </c>
      <c r="B1383" s="379" t="s">
        <v>1739</v>
      </c>
      <c r="C1383" s="1823" t="s">
        <v>3462</v>
      </c>
      <c r="D1383" s="379" t="s">
        <v>3422</v>
      </c>
      <c r="E1383" s="1168">
        <v>8400000</v>
      </c>
      <c r="F1383" s="1168">
        <v>7705000</v>
      </c>
      <c r="G1383" s="1168">
        <v>7704776.4</v>
      </c>
      <c r="H1383" s="1168">
        <v>223.6</v>
      </c>
    </row>
    <row r="1384" spans="1:8" ht="12.75">
      <c r="A1384" s="1822" t="s">
        <v>1740</v>
      </c>
      <c r="B1384" s="379" t="s">
        <v>1741</v>
      </c>
      <c r="C1384" s="1823" t="s">
        <v>3462</v>
      </c>
      <c r="D1384" s="379" t="s">
        <v>3422</v>
      </c>
      <c r="E1384" s="1168">
        <v>1400000</v>
      </c>
      <c r="F1384" s="1168">
        <v>1400000</v>
      </c>
      <c r="G1384" s="1168">
        <v>1399996.19</v>
      </c>
      <c r="H1384" s="1168">
        <v>3.81</v>
      </c>
    </row>
    <row r="1385" spans="1:8" ht="12.75">
      <c r="A1385" s="1822" t="s">
        <v>1742</v>
      </c>
      <c r="B1385" s="379" t="s">
        <v>1743</v>
      </c>
      <c r="C1385" s="1823" t="s">
        <v>3462</v>
      </c>
      <c r="D1385" s="379" t="s">
        <v>3422</v>
      </c>
      <c r="E1385" s="1168">
        <v>1000000</v>
      </c>
      <c r="F1385" s="1168">
        <v>1000000</v>
      </c>
      <c r="G1385" s="1168">
        <v>999999</v>
      </c>
      <c r="H1385" s="1168">
        <v>1</v>
      </c>
    </row>
    <row r="1386" spans="1:8" ht="12.75">
      <c r="A1386" s="1822" t="s">
        <v>1744</v>
      </c>
      <c r="B1386" s="379" t="s">
        <v>1745</v>
      </c>
      <c r="C1386" s="1823" t="s">
        <v>3462</v>
      </c>
      <c r="D1386" s="379" t="s">
        <v>3422</v>
      </c>
      <c r="E1386" s="1168">
        <v>200000</v>
      </c>
      <c r="F1386" s="1168">
        <v>200000</v>
      </c>
      <c r="G1386" s="1168">
        <v>199997.35</v>
      </c>
      <c r="H1386" s="1168">
        <v>2.65</v>
      </c>
    </row>
    <row r="1387" spans="1:8" ht="12.75">
      <c r="A1387" s="1822" t="s">
        <v>1746</v>
      </c>
      <c r="B1387" s="379" t="s">
        <v>1747</v>
      </c>
      <c r="C1387" s="1823" t="s">
        <v>3462</v>
      </c>
      <c r="D1387" s="379" t="s">
        <v>3422</v>
      </c>
      <c r="E1387" s="1168">
        <v>915000</v>
      </c>
      <c r="F1387" s="1168">
        <v>915000</v>
      </c>
      <c r="G1387" s="1168">
        <v>915000</v>
      </c>
      <c r="H1387" s="1168">
        <v>0</v>
      </c>
    </row>
    <row r="1388" spans="1:8" ht="12.75">
      <c r="A1388" s="1822" t="s">
        <v>1748</v>
      </c>
      <c r="B1388" s="379" t="s">
        <v>1749</v>
      </c>
      <c r="C1388" s="1823" t="s">
        <v>3462</v>
      </c>
      <c r="D1388" s="379" t="s">
        <v>3422</v>
      </c>
      <c r="E1388" s="1168">
        <v>75000</v>
      </c>
      <c r="F1388" s="1168">
        <v>62000</v>
      </c>
      <c r="G1388" s="1168">
        <v>61356.4</v>
      </c>
      <c r="H1388" s="1168">
        <v>643.6</v>
      </c>
    </row>
    <row r="1389" spans="1:8" ht="12.75">
      <c r="A1389" s="1822">
        <v>2142134011</v>
      </c>
      <c r="B1389" s="379" t="s">
        <v>1750</v>
      </c>
      <c r="C1389" s="1823" t="s">
        <v>3462</v>
      </c>
      <c r="D1389" s="379" t="s">
        <v>3422</v>
      </c>
      <c r="E1389" s="1168">
        <v>70000</v>
      </c>
      <c r="F1389" s="1168">
        <v>0</v>
      </c>
      <c r="G1389" s="1168">
        <v>0</v>
      </c>
      <c r="H1389" s="1168">
        <v>0</v>
      </c>
    </row>
    <row r="1390" spans="1:8" ht="12.75">
      <c r="A1390" s="1822">
        <v>2142134012</v>
      </c>
      <c r="B1390" s="379" t="s">
        <v>1751</v>
      </c>
      <c r="C1390" s="1823" t="s">
        <v>3464</v>
      </c>
      <c r="D1390" s="379" t="s">
        <v>3422</v>
      </c>
      <c r="E1390" s="1168">
        <v>500000</v>
      </c>
      <c r="F1390" s="1168">
        <v>0</v>
      </c>
      <c r="G1390" s="1168">
        <v>0</v>
      </c>
      <c r="H1390" s="1168">
        <v>0</v>
      </c>
    </row>
    <row r="1391" spans="1:8" ht="12.75">
      <c r="A1391" s="1822" t="s">
        <v>1752</v>
      </c>
      <c r="B1391" s="379" t="s">
        <v>1753</v>
      </c>
      <c r="C1391" s="1823" t="s">
        <v>3464</v>
      </c>
      <c r="D1391" s="379" t="s">
        <v>3422</v>
      </c>
      <c r="E1391" s="1168">
        <v>7000000</v>
      </c>
      <c r="F1391" s="1168">
        <v>6786000</v>
      </c>
      <c r="G1391" s="1168">
        <v>0</v>
      </c>
      <c r="H1391" s="1168">
        <v>6786000</v>
      </c>
    </row>
    <row r="1392" spans="1:8" ht="12.75">
      <c r="A1392" s="1822">
        <v>2142134014</v>
      </c>
      <c r="B1392" s="379" t="s">
        <v>1754</v>
      </c>
      <c r="C1392" s="1823" t="s">
        <v>3464</v>
      </c>
      <c r="D1392" s="379" t="s">
        <v>3422</v>
      </c>
      <c r="E1392" s="1168">
        <v>3300000</v>
      </c>
      <c r="F1392" s="1168">
        <v>0</v>
      </c>
      <c r="G1392" s="1168">
        <v>0</v>
      </c>
      <c r="H1392" s="1168">
        <v>0</v>
      </c>
    </row>
    <row r="1393" spans="1:8" ht="12.75">
      <c r="A1393" s="1822" t="s">
        <v>1755</v>
      </c>
      <c r="B1393" s="379" t="s">
        <v>1756</v>
      </c>
      <c r="C1393" s="1823" t="s">
        <v>3464</v>
      </c>
      <c r="D1393" s="379" t="s">
        <v>3422</v>
      </c>
      <c r="E1393" s="1168">
        <v>2900000</v>
      </c>
      <c r="F1393" s="1168">
        <v>2813000</v>
      </c>
      <c r="G1393" s="1168">
        <v>2813000</v>
      </c>
      <c r="H1393" s="1168">
        <v>0</v>
      </c>
    </row>
    <row r="1394" spans="1:8" ht="12.75">
      <c r="A1394" s="1822" t="s">
        <v>1757</v>
      </c>
      <c r="B1394" s="379" t="s">
        <v>1758</v>
      </c>
      <c r="C1394" s="1823" t="s">
        <v>3464</v>
      </c>
      <c r="D1394" s="379" t="s">
        <v>3422</v>
      </c>
      <c r="E1394" s="1168">
        <v>750000</v>
      </c>
      <c r="F1394" s="1168">
        <v>732000</v>
      </c>
      <c r="G1394" s="1168">
        <v>731557</v>
      </c>
      <c r="H1394" s="1168">
        <v>443</v>
      </c>
    </row>
    <row r="1395" spans="1:8" ht="12.75">
      <c r="A1395" s="1822" t="s">
        <v>1759</v>
      </c>
      <c r="B1395" s="379" t="s">
        <v>1760</v>
      </c>
      <c r="C1395" s="1823" t="s">
        <v>3464</v>
      </c>
      <c r="D1395" s="379" t="s">
        <v>3422</v>
      </c>
      <c r="E1395" s="1168">
        <v>1200000</v>
      </c>
      <c r="F1395" s="1168">
        <v>1073000</v>
      </c>
      <c r="G1395" s="1168">
        <v>1072904</v>
      </c>
      <c r="H1395" s="1168">
        <v>96</v>
      </c>
    </row>
    <row r="1396" spans="1:8" ht="12.75">
      <c r="A1396" s="1822" t="s">
        <v>1761</v>
      </c>
      <c r="B1396" s="379" t="s">
        <v>1762</v>
      </c>
      <c r="C1396" s="1823" t="s">
        <v>3464</v>
      </c>
      <c r="D1396" s="379" t="s">
        <v>3422</v>
      </c>
      <c r="E1396" s="1168">
        <v>1000000</v>
      </c>
      <c r="F1396" s="1168">
        <v>1099000</v>
      </c>
      <c r="G1396" s="1168">
        <v>1098520</v>
      </c>
      <c r="H1396" s="1168">
        <v>480</v>
      </c>
    </row>
    <row r="1397" spans="1:8" ht="12.75">
      <c r="A1397" s="1822" t="s">
        <v>1763</v>
      </c>
      <c r="B1397" s="379" t="s">
        <v>1764</v>
      </c>
      <c r="C1397" s="1823" t="s">
        <v>3464</v>
      </c>
      <c r="D1397" s="379" t="s">
        <v>3422</v>
      </c>
      <c r="E1397" s="1168">
        <v>800000</v>
      </c>
      <c r="F1397" s="1168">
        <v>781000</v>
      </c>
      <c r="G1397" s="1168">
        <v>780188</v>
      </c>
      <c r="H1397" s="1168">
        <v>812</v>
      </c>
    </row>
    <row r="1398" spans="1:8" ht="12.75">
      <c r="A1398" s="1822" t="s">
        <v>1765</v>
      </c>
      <c r="B1398" s="379" t="s">
        <v>1766</v>
      </c>
      <c r="C1398" s="1823" t="s">
        <v>3464</v>
      </c>
      <c r="D1398" s="379" t="s">
        <v>3422</v>
      </c>
      <c r="E1398" s="1168">
        <v>2670000</v>
      </c>
      <c r="F1398" s="1168">
        <v>2664000</v>
      </c>
      <c r="G1398" s="1168">
        <v>2663586.4</v>
      </c>
      <c r="H1398" s="1168">
        <v>413.6</v>
      </c>
    </row>
    <row r="1399" spans="1:8" ht="12.75">
      <c r="A1399" s="1822" t="s">
        <v>1767</v>
      </c>
      <c r="B1399" s="379" t="s">
        <v>1768</v>
      </c>
      <c r="C1399" s="1823" t="s">
        <v>3466</v>
      </c>
      <c r="D1399" s="379" t="s">
        <v>3422</v>
      </c>
      <c r="E1399" s="1168">
        <v>600000</v>
      </c>
      <c r="F1399" s="1168">
        <v>585000</v>
      </c>
      <c r="G1399" s="1168">
        <v>584623.2</v>
      </c>
      <c r="H1399" s="1168">
        <v>376.8</v>
      </c>
    </row>
    <row r="1400" spans="1:8" ht="12.75">
      <c r="A1400" s="1822" t="s">
        <v>1769</v>
      </c>
      <c r="B1400" s="379" t="s">
        <v>1770</v>
      </c>
      <c r="C1400" s="1823" t="s">
        <v>3466</v>
      </c>
      <c r="D1400" s="379" t="s">
        <v>3422</v>
      </c>
      <c r="E1400" s="1168">
        <v>6200000</v>
      </c>
      <c r="F1400" s="1168">
        <v>6040000</v>
      </c>
      <c r="G1400" s="1168">
        <v>6039964</v>
      </c>
      <c r="H1400" s="1168">
        <v>36</v>
      </c>
    </row>
    <row r="1401" spans="1:8" ht="12.75">
      <c r="A1401" s="1822" t="s">
        <v>1771</v>
      </c>
      <c r="B1401" s="379" t="s">
        <v>1772</v>
      </c>
      <c r="C1401" s="1823" t="s">
        <v>3466</v>
      </c>
      <c r="D1401" s="379" t="s">
        <v>3422</v>
      </c>
      <c r="E1401" s="1168">
        <v>6400000</v>
      </c>
      <c r="F1401" s="1168">
        <v>5366000</v>
      </c>
      <c r="G1401" s="1168">
        <v>5365948</v>
      </c>
      <c r="H1401" s="1168">
        <v>52</v>
      </c>
    </row>
    <row r="1402" spans="1:8" ht="12.75">
      <c r="A1402" s="1822" t="s">
        <v>1773</v>
      </c>
      <c r="B1402" s="379" t="s">
        <v>1774</v>
      </c>
      <c r="C1402" s="1823" t="s">
        <v>3466</v>
      </c>
      <c r="D1402" s="379" t="s">
        <v>3422</v>
      </c>
      <c r="E1402" s="1168">
        <v>2500000</v>
      </c>
      <c r="F1402" s="1168">
        <v>2338000</v>
      </c>
      <c r="G1402" s="1168">
        <v>2337082</v>
      </c>
      <c r="H1402" s="1168">
        <v>918</v>
      </c>
    </row>
    <row r="1403" spans="1:8" ht="12.75">
      <c r="A1403" s="1822" t="s">
        <v>1775</v>
      </c>
      <c r="B1403" s="379" t="s">
        <v>1776</v>
      </c>
      <c r="C1403" s="1823" t="s">
        <v>3466</v>
      </c>
      <c r="D1403" s="379" t="s">
        <v>3422</v>
      </c>
      <c r="E1403" s="1168">
        <v>700000</v>
      </c>
      <c r="F1403" s="1168">
        <v>636000</v>
      </c>
      <c r="G1403" s="1168">
        <v>635769</v>
      </c>
      <c r="H1403" s="1168">
        <v>231</v>
      </c>
    </row>
    <row r="1404" spans="1:8" ht="12.75">
      <c r="A1404" s="1822" t="s">
        <v>1777</v>
      </c>
      <c r="B1404" s="379" t="s">
        <v>1778</v>
      </c>
      <c r="C1404" s="1823" t="s">
        <v>3466</v>
      </c>
      <c r="D1404" s="379" t="s">
        <v>3422</v>
      </c>
      <c r="E1404" s="1168">
        <v>700000</v>
      </c>
      <c r="F1404" s="1168">
        <v>612000</v>
      </c>
      <c r="G1404" s="1168">
        <v>612000</v>
      </c>
      <c r="H1404" s="1168">
        <v>0</v>
      </c>
    </row>
    <row r="1405" spans="1:8" ht="12.75">
      <c r="A1405" s="1822" t="s">
        <v>1779</v>
      </c>
      <c r="B1405" s="379" t="s">
        <v>1776</v>
      </c>
      <c r="C1405" s="1823" t="s">
        <v>3466</v>
      </c>
      <c r="D1405" s="379" t="s">
        <v>3422</v>
      </c>
      <c r="E1405" s="1168">
        <v>1660000</v>
      </c>
      <c r="F1405" s="1168">
        <v>1579000</v>
      </c>
      <c r="G1405" s="1168">
        <v>1578169</v>
      </c>
      <c r="H1405" s="1168">
        <v>831</v>
      </c>
    </row>
    <row r="1406" spans="1:8" ht="12.75">
      <c r="A1406" s="1822" t="s">
        <v>1780</v>
      </c>
      <c r="B1406" s="379" t="s">
        <v>1781</v>
      </c>
      <c r="C1406" s="1823" t="s">
        <v>3468</v>
      </c>
      <c r="D1406" s="379" t="s">
        <v>3422</v>
      </c>
      <c r="E1406" s="1168">
        <v>205000</v>
      </c>
      <c r="F1406" s="1168">
        <v>194000</v>
      </c>
      <c r="G1406" s="1168">
        <v>193329</v>
      </c>
      <c r="H1406" s="1168">
        <v>671</v>
      </c>
    </row>
    <row r="1407" spans="1:8" ht="12.75">
      <c r="A1407" s="1822" t="s">
        <v>1782</v>
      </c>
      <c r="B1407" s="379" t="s">
        <v>1783</v>
      </c>
      <c r="C1407" s="1823" t="s">
        <v>3468</v>
      </c>
      <c r="D1407" s="379" t="s">
        <v>3422</v>
      </c>
      <c r="E1407" s="1168">
        <v>295000</v>
      </c>
      <c r="F1407" s="1168">
        <v>294000</v>
      </c>
      <c r="G1407" s="1168">
        <v>293981.5</v>
      </c>
      <c r="H1407" s="1168">
        <v>18.5</v>
      </c>
    </row>
    <row r="1408" spans="1:8" ht="12.75">
      <c r="A1408" s="1822" t="s">
        <v>1784</v>
      </c>
      <c r="B1408" s="379" t="s">
        <v>1785</v>
      </c>
      <c r="C1408" s="1823" t="s">
        <v>3468</v>
      </c>
      <c r="D1408" s="379" t="s">
        <v>3422</v>
      </c>
      <c r="E1408" s="1168">
        <v>2400000</v>
      </c>
      <c r="F1408" s="1168">
        <v>2282000</v>
      </c>
      <c r="G1408" s="1168">
        <v>2281468</v>
      </c>
      <c r="H1408" s="1168">
        <v>532</v>
      </c>
    </row>
    <row r="1409" spans="1:8" ht="12.75">
      <c r="A1409" s="1822" t="s">
        <v>1786</v>
      </c>
      <c r="B1409" s="379" t="s">
        <v>1787</v>
      </c>
      <c r="C1409" s="1823" t="s">
        <v>3468</v>
      </c>
      <c r="D1409" s="379" t="s">
        <v>3422</v>
      </c>
      <c r="E1409" s="1168">
        <v>2400000</v>
      </c>
      <c r="F1409" s="1168">
        <v>2282000</v>
      </c>
      <c r="G1409" s="1168">
        <v>2281468</v>
      </c>
      <c r="H1409" s="1168">
        <v>532</v>
      </c>
    </row>
    <row r="1410" spans="1:8" ht="12.75">
      <c r="A1410" s="1822" t="s">
        <v>1788</v>
      </c>
      <c r="B1410" s="379" t="s">
        <v>1789</v>
      </c>
      <c r="C1410" s="1823" t="s">
        <v>3468</v>
      </c>
      <c r="D1410" s="379" t="s">
        <v>3422</v>
      </c>
      <c r="E1410" s="1168">
        <v>3900000</v>
      </c>
      <c r="F1410" s="1168">
        <v>3731000</v>
      </c>
      <c r="G1410" s="1168">
        <v>3730510</v>
      </c>
      <c r="H1410" s="1168">
        <v>490</v>
      </c>
    </row>
    <row r="1411" spans="1:8" ht="12.75">
      <c r="A1411" s="1822" t="s">
        <v>1790</v>
      </c>
      <c r="B1411" s="379" t="s">
        <v>1791</v>
      </c>
      <c r="C1411" s="1823" t="s">
        <v>3468</v>
      </c>
      <c r="D1411" s="379" t="s">
        <v>3422</v>
      </c>
      <c r="E1411" s="1168">
        <v>1800000</v>
      </c>
      <c r="F1411" s="1168">
        <v>1245000</v>
      </c>
      <c r="G1411" s="1168">
        <v>1244133</v>
      </c>
      <c r="H1411" s="1168">
        <v>867</v>
      </c>
    </row>
    <row r="1412" spans="1:8" ht="12.75">
      <c r="A1412" s="1822">
        <v>2142134034</v>
      </c>
      <c r="B1412" s="379" t="s">
        <v>1792</v>
      </c>
      <c r="C1412" s="1823" t="s">
        <v>3468</v>
      </c>
      <c r="D1412" s="379" t="s">
        <v>3422</v>
      </c>
      <c r="E1412" s="1168">
        <v>1200000</v>
      </c>
      <c r="F1412" s="1168">
        <v>0</v>
      </c>
      <c r="G1412" s="1168">
        <v>0</v>
      </c>
      <c r="H1412" s="1168">
        <v>0</v>
      </c>
    </row>
    <row r="1413" spans="1:8" ht="12.75">
      <c r="A1413" s="1822" t="s">
        <v>1793</v>
      </c>
      <c r="B1413" s="379" t="s">
        <v>1794</v>
      </c>
      <c r="C1413" s="1823" t="s">
        <v>3468</v>
      </c>
      <c r="D1413" s="379" t="s">
        <v>3422</v>
      </c>
      <c r="E1413" s="1168">
        <v>440000</v>
      </c>
      <c r="F1413" s="1168">
        <v>440000</v>
      </c>
      <c r="G1413" s="1168">
        <v>439566</v>
      </c>
      <c r="H1413" s="1168">
        <v>434</v>
      </c>
    </row>
    <row r="1414" spans="1:8" ht="12.75">
      <c r="A1414" s="1822">
        <v>2142134036</v>
      </c>
      <c r="B1414" s="379" t="s">
        <v>1795</v>
      </c>
      <c r="C1414" s="1823" t="s">
        <v>3468</v>
      </c>
      <c r="D1414" s="379" t="s">
        <v>3422</v>
      </c>
      <c r="E1414" s="1168">
        <v>800000</v>
      </c>
      <c r="F1414" s="1168">
        <v>0</v>
      </c>
      <c r="G1414" s="1168">
        <v>0</v>
      </c>
      <c r="H1414" s="1168">
        <v>0</v>
      </c>
    </row>
    <row r="1415" spans="1:8" ht="12.75">
      <c r="A1415" s="1822" t="s">
        <v>1796</v>
      </c>
      <c r="B1415" s="379" t="s">
        <v>1797</v>
      </c>
      <c r="C1415" s="1823" t="s">
        <v>3468</v>
      </c>
      <c r="D1415" s="379" t="s">
        <v>3422</v>
      </c>
      <c r="E1415" s="1168">
        <v>1140000</v>
      </c>
      <c r="F1415" s="1168">
        <v>1137000</v>
      </c>
      <c r="G1415" s="1168">
        <v>1136727</v>
      </c>
      <c r="H1415" s="1168">
        <v>273</v>
      </c>
    </row>
    <row r="1416" spans="1:8" ht="12.75">
      <c r="A1416" s="1822" t="s">
        <v>1798</v>
      </c>
      <c r="B1416" s="379" t="s">
        <v>1799</v>
      </c>
      <c r="C1416" s="1823" t="s">
        <v>3469</v>
      </c>
      <c r="D1416" s="379" t="s">
        <v>3422</v>
      </c>
      <c r="E1416" s="1168">
        <v>250000</v>
      </c>
      <c r="F1416" s="1168">
        <v>250000</v>
      </c>
      <c r="G1416" s="1168">
        <v>249971.4</v>
      </c>
      <c r="H1416" s="1168">
        <v>28.6</v>
      </c>
    </row>
    <row r="1417" spans="1:8" ht="12.75">
      <c r="A1417" s="1822" t="s">
        <v>1800</v>
      </c>
      <c r="B1417" s="379" t="s">
        <v>1801</v>
      </c>
      <c r="C1417" s="1823" t="s">
        <v>3469</v>
      </c>
      <c r="D1417" s="379" t="s">
        <v>3422</v>
      </c>
      <c r="E1417" s="1168">
        <v>140000</v>
      </c>
      <c r="F1417" s="1168">
        <v>131000</v>
      </c>
      <c r="G1417" s="1168">
        <v>130840.5</v>
      </c>
      <c r="H1417" s="1168">
        <v>159.5</v>
      </c>
    </row>
    <row r="1418" spans="1:8" ht="12.75">
      <c r="A1418" s="1822" t="s">
        <v>1802</v>
      </c>
      <c r="B1418" s="379" t="s">
        <v>1803</v>
      </c>
      <c r="C1418" s="1823" t="s">
        <v>3469</v>
      </c>
      <c r="D1418" s="379" t="s">
        <v>3422</v>
      </c>
      <c r="E1418" s="1168">
        <v>60000</v>
      </c>
      <c r="F1418" s="1168">
        <v>60000</v>
      </c>
      <c r="G1418" s="1168">
        <v>59987.9</v>
      </c>
      <c r="H1418" s="1168">
        <v>12.1</v>
      </c>
    </row>
    <row r="1419" spans="1:8" ht="12.75">
      <c r="A1419" s="1822" t="s">
        <v>1804</v>
      </c>
      <c r="B1419" s="379" t="s">
        <v>1805</v>
      </c>
      <c r="C1419" s="1823" t="s">
        <v>3469</v>
      </c>
      <c r="D1419" s="379" t="s">
        <v>3422</v>
      </c>
      <c r="E1419" s="1168">
        <v>50000</v>
      </c>
      <c r="F1419" s="1168">
        <v>50000</v>
      </c>
      <c r="G1419" s="1168">
        <v>49953</v>
      </c>
      <c r="H1419" s="1168">
        <v>47</v>
      </c>
    </row>
    <row r="1420" spans="1:8" ht="12.75">
      <c r="A1420" s="1822" t="s">
        <v>1806</v>
      </c>
      <c r="B1420" s="379" t="s">
        <v>1807</v>
      </c>
      <c r="C1420" s="1823" t="s">
        <v>3469</v>
      </c>
      <c r="D1420" s="379" t="s">
        <v>3422</v>
      </c>
      <c r="E1420" s="1168">
        <v>6800000</v>
      </c>
      <c r="F1420" s="1168">
        <v>6540000</v>
      </c>
      <c r="G1420" s="1168">
        <v>6539050</v>
      </c>
      <c r="H1420" s="1168">
        <v>950</v>
      </c>
    </row>
    <row r="1421" spans="1:8" ht="12.75">
      <c r="A1421" s="1822" t="s">
        <v>1808</v>
      </c>
      <c r="B1421" s="379" t="s">
        <v>1809</v>
      </c>
      <c r="C1421" s="1823" t="s">
        <v>3469</v>
      </c>
      <c r="D1421" s="379" t="s">
        <v>3422</v>
      </c>
      <c r="E1421" s="1168">
        <v>670000</v>
      </c>
      <c r="F1421" s="1168">
        <v>670000</v>
      </c>
      <c r="G1421" s="1168">
        <v>669800</v>
      </c>
      <c r="H1421" s="1168">
        <v>200</v>
      </c>
    </row>
    <row r="1422" spans="1:8" ht="12.75">
      <c r="A1422" s="1822" t="s">
        <v>1810</v>
      </c>
      <c r="B1422" s="379" t="s">
        <v>1811</v>
      </c>
      <c r="C1422" s="1823" t="s">
        <v>3471</v>
      </c>
      <c r="D1422" s="379" t="s">
        <v>3422</v>
      </c>
      <c r="E1422" s="1168">
        <v>230000</v>
      </c>
      <c r="F1422" s="1168">
        <v>209000</v>
      </c>
      <c r="G1422" s="1168">
        <v>208060</v>
      </c>
      <c r="H1422" s="1168">
        <v>940</v>
      </c>
    </row>
    <row r="1423" spans="1:8" ht="12.75">
      <c r="A1423" s="1822" t="s">
        <v>1810</v>
      </c>
      <c r="B1423" s="379" t="s">
        <v>1811</v>
      </c>
      <c r="C1423" s="1823" t="s">
        <v>3471</v>
      </c>
      <c r="D1423" s="379" t="s">
        <v>3423</v>
      </c>
      <c r="E1423" s="1168">
        <v>0</v>
      </c>
      <c r="F1423" s="1168">
        <v>20000</v>
      </c>
      <c r="G1423" s="1168">
        <v>19992</v>
      </c>
      <c r="H1423" s="1168">
        <v>8</v>
      </c>
    </row>
    <row r="1424" spans="1:8" ht="12.75">
      <c r="A1424" s="1822" t="s">
        <v>1812</v>
      </c>
      <c r="B1424" s="379" t="s">
        <v>1654</v>
      </c>
      <c r="C1424" s="1823" t="s">
        <v>3471</v>
      </c>
      <c r="D1424" s="379" t="s">
        <v>3422</v>
      </c>
      <c r="E1424" s="1168">
        <v>230000</v>
      </c>
      <c r="F1424" s="1168">
        <v>229000</v>
      </c>
      <c r="G1424" s="1168">
        <v>228162</v>
      </c>
      <c r="H1424" s="1168">
        <v>838</v>
      </c>
    </row>
    <row r="1425" spans="1:8" ht="12.75">
      <c r="A1425" s="1822" t="s">
        <v>1813</v>
      </c>
      <c r="B1425" s="379" t="s">
        <v>1814</v>
      </c>
      <c r="C1425" s="1823" t="s">
        <v>3471</v>
      </c>
      <c r="D1425" s="379" t="s">
        <v>3422</v>
      </c>
      <c r="E1425" s="1168">
        <v>7500000</v>
      </c>
      <c r="F1425" s="1168">
        <v>6839000</v>
      </c>
      <c r="G1425" s="1168">
        <v>6839000</v>
      </c>
      <c r="H1425" s="1168">
        <v>0</v>
      </c>
    </row>
    <row r="1426" spans="1:8" ht="12.75">
      <c r="A1426" s="1822" t="s">
        <v>1815</v>
      </c>
      <c r="B1426" s="379" t="s">
        <v>1816</v>
      </c>
      <c r="C1426" s="1823" t="s">
        <v>3471</v>
      </c>
      <c r="D1426" s="379" t="s">
        <v>3422</v>
      </c>
      <c r="E1426" s="1168">
        <v>2600000</v>
      </c>
      <c r="F1426" s="1168">
        <v>2536000</v>
      </c>
      <c r="G1426" s="1168">
        <v>2535090.1</v>
      </c>
      <c r="H1426" s="1168">
        <v>909.9</v>
      </c>
    </row>
    <row r="1427" spans="1:8" ht="12.75">
      <c r="A1427" s="1822" t="s">
        <v>1817</v>
      </c>
      <c r="B1427" s="379" t="s">
        <v>1818</v>
      </c>
      <c r="C1427" s="1823" t="s">
        <v>3471</v>
      </c>
      <c r="D1427" s="379" t="s">
        <v>3422</v>
      </c>
      <c r="E1427" s="1168">
        <v>4000000</v>
      </c>
      <c r="F1427" s="1168">
        <v>3990000</v>
      </c>
      <c r="G1427" s="1168">
        <v>3990000</v>
      </c>
      <c r="H1427" s="1168">
        <v>0</v>
      </c>
    </row>
    <row r="1428" spans="1:8" ht="12.75">
      <c r="A1428" s="1822" t="s">
        <v>1819</v>
      </c>
      <c r="B1428" s="379" t="s">
        <v>1820</v>
      </c>
      <c r="C1428" s="1823" t="s">
        <v>3471</v>
      </c>
      <c r="D1428" s="379" t="s">
        <v>3422</v>
      </c>
      <c r="E1428" s="1168">
        <v>2400000</v>
      </c>
      <c r="F1428" s="1168">
        <v>2340000</v>
      </c>
      <c r="G1428" s="1168">
        <v>2339032.68</v>
      </c>
      <c r="H1428" s="1168">
        <v>967.32</v>
      </c>
    </row>
    <row r="1429" spans="1:8" ht="12.75">
      <c r="A1429" s="1822" t="s">
        <v>1821</v>
      </c>
      <c r="B1429" s="379" t="s">
        <v>1822</v>
      </c>
      <c r="C1429" s="1823" t="s">
        <v>3471</v>
      </c>
      <c r="D1429" s="379" t="s">
        <v>3422</v>
      </c>
      <c r="E1429" s="1168">
        <v>1200000</v>
      </c>
      <c r="F1429" s="1168">
        <v>1171000</v>
      </c>
      <c r="G1429" s="1168">
        <v>1170200</v>
      </c>
      <c r="H1429" s="1168">
        <v>800</v>
      </c>
    </row>
    <row r="1430" spans="1:8" ht="12.75">
      <c r="A1430" s="1822" t="s">
        <v>1823</v>
      </c>
      <c r="B1430" s="379" t="s">
        <v>1824</v>
      </c>
      <c r="C1430" s="1823" t="s">
        <v>3471</v>
      </c>
      <c r="D1430" s="379" t="s">
        <v>3422</v>
      </c>
      <c r="E1430" s="1168">
        <v>400000</v>
      </c>
      <c r="F1430" s="1168">
        <v>373000</v>
      </c>
      <c r="G1430" s="1168">
        <v>372458</v>
      </c>
      <c r="H1430" s="1168">
        <v>542</v>
      </c>
    </row>
    <row r="1431" spans="1:8" ht="12.75">
      <c r="A1431" s="1822">
        <v>2142134052</v>
      </c>
      <c r="B1431" s="379" t="s">
        <v>1825</v>
      </c>
      <c r="C1431" s="1823" t="s">
        <v>3471</v>
      </c>
      <c r="D1431" s="379" t="s">
        <v>3422</v>
      </c>
      <c r="E1431" s="1168">
        <v>140000</v>
      </c>
      <c r="F1431" s="1168">
        <v>0</v>
      </c>
      <c r="G1431" s="1168">
        <v>0</v>
      </c>
      <c r="H1431" s="1168">
        <v>0</v>
      </c>
    </row>
    <row r="1432" spans="1:8" ht="12.75">
      <c r="A1432" s="1822" t="s">
        <v>1826</v>
      </c>
      <c r="B1432" s="379" t="s">
        <v>1827</v>
      </c>
      <c r="C1432" s="1823" t="s">
        <v>3471</v>
      </c>
      <c r="D1432" s="379" t="s">
        <v>3422</v>
      </c>
      <c r="E1432" s="1168">
        <v>8500000</v>
      </c>
      <c r="F1432" s="1168">
        <v>8195000</v>
      </c>
      <c r="G1432" s="1168">
        <v>8195000</v>
      </c>
      <c r="H1432" s="1168">
        <v>0</v>
      </c>
    </row>
    <row r="1433" spans="1:8" ht="12.75">
      <c r="A1433" s="1822" t="s">
        <v>1828</v>
      </c>
      <c r="B1433" s="379" t="s">
        <v>1829</v>
      </c>
      <c r="C1433" s="1823" t="s">
        <v>3473</v>
      </c>
      <c r="D1433" s="379" t="s">
        <v>3422</v>
      </c>
      <c r="E1433" s="1168">
        <v>240000</v>
      </c>
      <c r="F1433" s="1168">
        <v>216000</v>
      </c>
      <c r="G1433" s="1168">
        <v>215248</v>
      </c>
      <c r="H1433" s="1168">
        <v>752</v>
      </c>
    </row>
    <row r="1434" spans="1:8" ht="12.75">
      <c r="A1434" s="1822" t="s">
        <v>1828</v>
      </c>
      <c r="B1434" s="379" t="s">
        <v>1829</v>
      </c>
      <c r="C1434" s="1823" t="s">
        <v>3473</v>
      </c>
      <c r="D1434" s="379" t="s">
        <v>3423</v>
      </c>
      <c r="E1434" s="1168">
        <v>0</v>
      </c>
      <c r="F1434" s="1168">
        <v>17000</v>
      </c>
      <c r="G1434" s="1168">
        <v>16567</v>
      </c>
      <c r="H1434" s="1168">
        <v>433</v>
      </c>
    </row>
    <row r="1435" spans="1:8" ht="12.75">
      <c r="A1435" s="1822" t="s">
        <v>1830</v>
      </c>
      <c r="B1435" s="379" t="s">
        <v>1831</v>
      </c>
      <c r="C1435" s="1823" t="s">
        <v>3473</v>
      </c>
      <c r="D1435" s="379" t="s">
        <v>3422</v>
      </c>
      <c r="E1435" s="1168">
        <v>6600000</v>
      </c>
      <c r="F1435" s="1168">
        <v>6437000</v>
      </c>
      <c r="G1435" s="1168">
        <v>6436710</v>
      </c>
      <c r="H1435" s="1168">
        <v>290</v>
      </c>
    </row>
    <row r="1436" spans="1:8" ht="12.75">
      <c r="A1436" s="1822" t="s">
        <v>1832</v>
      </c>
      <c r="B1436" s="379" t="s">
        <v>1833</v>
      </c>
      <c r="C1436" s="1823" t="s">
        <v>3473</v>
      </c>
      <c r="D1436" s="379" t="s">
        <v>3422</v>
      </c>
      <c r="E1436" s="1168">
        <v>680000</v>
      </c>
      <c r="F1436" s="1168">
        <v>667000</v>
      </c>
      <c r="G1436" s="1168">
        <v>667000</v>
      </c>
      <c r="H1436" s="1168">
        <v>0</v>
      </c>
    </row>
    <row r="1437" spans="1:8" ht="12.75">
      <c r="A1437" s="1822" t="s">
        <v>1834</v>
      </c>
      <c r="B1437" s="379" t="s">
        <v>3102</v>
      </c>
      <c r="C1437" s="1823" t="s">
        <v>3473</v>
      </c>
      <c r="D1437" s="379" t="s">
        <v>3422</v>
      </c>
      <c r="E1437" s="1168">
        <v>820000</v>
      </c>
      <c r="F1437" s="1168">
        <v>800000</v>
      </c>
      <c r="G1437" s="1168">
        <v>799099</v>
      </c>
      <c r="H1437" s="1168">
        <v>901</v>
      </c>
    </row>
    <row r="1438" spans="1:8" ht="12.75">
      <c r="A1438" s="1822" t="s">
        <v>1835</v>
      </c>
      <c r="B1438" s="379" t="s">
        <v>1836</v>
      </c>
      <c r="C1438" s="1823" t="s">
        <v>3473</v>
      </c>
      <c r="D1438" s="379" t="s">
        <v>3422</v>
      </c>
      <c r="E1438" s="1168">
        <v>840000</v>
      </c>
      <c r="F1438" s="1168">
        <v>808000</v>
      </c>
      <c r="G1438" s="1168">
        <v>807717</v>
      </c>
      <c r="H1438" s="1168">
        <v>283</v>
      </c>
    </row>
    <row r="1439" spans="1:8" ht="12.75">
      <c r="A1439" s="1822" t="s">
        <v>1837</v>
      </c>
      <c r="B1439" s="379" t="s">
        <v>1838</v>
      </c>
      <c r="C1439" s="1823" t="s">
        <v>3473</v>
      </c>
      <c r="D1439" s="379" t="s">
        <v>3422</v>
      </c>
      <c r="E1439" s="1168">
        <v>13500000</v>
      </c>
      <c r="F1439" s="1168">
        <v>13169000</v>
      </c>
      <c r="G1439" s="1168">
        <v>11065570</v>
      </c>
      <c r="H1439" s="1168">
        <v>2103430</v>
      </c>
    </row>
    <row r="1440" spans="1:8" ht="12.75">
      <c r="A1440" s="1822" t="s">
        <v>1839</v>
      </c>
      <c r="B1440" s="379" t="s">
        <v>1840</v>
      </c>
      <c r="C1440" s="1823" t="s">
        <v>3475</v>
      </c>
      <c r="D1440" s="379" t="s">
        <v>3422</v>
      </c>
      <c r="E1440" s="1168">
        <v>700000</v>
      </c>
      <c r="F1440" s="1168">
        <v>700000</v>
      </c>
      <c r="G1440" s="1168">
        <v>699979</v>
      </c>
      <c r="H1440" s="1168">
        <v>21</v>
      </c>
    </row>
    <row r="1441" spans="1:8" ht="12.75">
      <c r="A1441" s="1822" t="s">
        <v>1841</v>
      </c>
      <c r="B1441" s="379" t="s">
        <v>1842</v>
      </c>
      <c r="C1441" s="1823" t="s">
        <v>3475</v>
      </c>
      <c r="D1441" s="379" t="s">
        <v>3422</v>
      </c>
      <c r="E1441" s="1168">
        <v>6400000</v>
      </c>
      <c r="F1441" s="1168">
        <v>6243000</v>
      </c>
      <c r="G1441" s="1168">
        <v>6242556.8</v>
      </c>
      <c r="H1441" s="1168">
        <v>443.2</v>
      </c>
    </row>
    <row r="1442" spans="1:8" ht="12.75">
      <c r="A1442" s="1822" t="s">
        <v>1843</v>
      </c>
      <c r="B1442" s="379" t="s">
        <v>1844</v>
      </c>
      <c r="C1442" s="1823" t="s">
        <v>3475</v>
      </c>
      <c r="D1442" s="379" t="s">
        <v>3422</v>
      </c>
      <c r="E1442" s="1168">
        <v>2300000</v>
      </c>
      <c r="F1442" s="1168">
        <v>2235000</v>
      </c>
      <c r="G1442" s="1168">
        <v>2234569.9</v>
      </c>
      <c r="H1442" s="1168">
        <v>430.1</v>
      </c>
    </row>
    <row r="1443" spans="1:8" ht="12.75">
      <c r="A1443" s="1822" t="s">
        <v>1845</v>
      </c>
      <c r="B1443" s="379" t="s">
        <v>1846</v>
      </c>
      <c r="C1443" s="1823" t="s">
        <v>3475</v>
      </c>
      <c r="D1443" s="379" t="s">
        <v>3422</v>
      </c>
      <c r="E1443" s="1168">
        <v>2300000</v>
      </c>
      <c r="F1443" s="1168">
        <v>2235000</v>
      </c>
      <c r="G1443" s="1168">
        <v>2234569.9</v>
      </c>
      <c r="H1443" s="1168">
        <v>430.1</v>
      </c>
    </row>
    <row r="1444" spans="1:8" ht="12.75">
      <c r="A1444" s="1822" t="s">
        <v>1847</v>
      </c>
      <c r="B1444" s="379" t="s">
        <v>1848</v>
      </c>
      <c r="C1444" s="1823" t="s">
        <v>3475</v>
      </c>
      <c r="D1444" s="379" t="s">
        <v>3422</v>
      </c>
      <c r="E1444" s="1168">
        <v>150000</v>
      </c>
      <c r="F1444" s="1168">
        <v>147000</v>
      </c>
      <c r="G1444" s="1168">
        <v>146301</v>
      </c>
      <c r="H1444" s="1168">
        <v>699</v>
      </c>
    </row>
    <row r="1445" spans="1:8" ht="12.75">
      <c r="A1445" s="1822" t="s">
        <v>1849</v>
      </c>
      <c r="B1445" s="379" t="s">
        <v>1850</v>
      </c>
      <c r="C1445" s="1823" t="s">
        <v>3475</v>
      </c>
      <c r="D1445" s="379" t="s">
        <v>3422</v>
      </c>
      <c r="E1445" s="1168">
        <v>110000</v>
      </c>
      <c r="F1445" s="1168">
        <v>302000</v>
      </c>
      <c r="G1445" s="1168">
        <v>301844</v>
      </c>
      <c r="H1445" s="1168">
        <v>156</v>
      </c>
    </row>
    <row r="1446" spans="1:8" ht="12.75">
      <c r="A1446" s="1822" t="s">
        <v>1851</v>
      </c>
      <c r="B1446" s="379" t="s">
        <v>1852</v>
      </c>
      <c r="C1446" s="1823" t="s">
        <v>3475</v>
      </c>
      <c r="D1446" s="379" t="s">
        <v>3422</v>
      </c>
      <c r="E1446" s="1168">
        <v>50000</v>
      </c>
      <c r="F1446" s="1168">
        <v>47000</v>
      </c>
      <c r="G1446" s="1168">
        <v>46648</v>
      </c>
      <c r="H1446" s="1168">
        <v>352</v>
      </c>
    </row>
    <row r="1447" spans="1:8" ht="12.75">
      <c r="A1447" s="1822" t="s">
        <v>1853</v>
      </c>
      <c r="B1447" s="379" t="s">
        <v>1854</v>
      </c>
      <c r="C1447" s="1823" t="s">
        <v>3475</v>
      </c>
      <c r="D1447" s="379" t="s">
        <v>3422</v>
      </c>
      <c r="E1447" s="1168">
        <v>372000</v>
      </c>
      <c r="F1447" s="1168">
        <v>309000</v>
      </c>
      <c r="G1447" s="1168">
        <v>308205</v>
      </c>
      <c r="H1447" s="1168">
        <v>795</v>
      </c>
    </row>
    <row r="1448" spans="1:8" ht="12.75">
      <c r="A1448" s="1822">
        <v>2142134068</v>
      </c>
      <c r="B1448" s="379" t="s">
        <v>1855</v>
      </c>
      <c r="C1448" s="1823" t="s">
        <v>3475</v>
      </c>
      <c r="D1448" s="379" t="s">
        <v>3422</v>
      </c>
      <c r="E1448" s="1168">
        <v>398000</v>
      </c>
      <c r="F1448" s="1168">
        <v>298000</v>
      </c>
      <c r="G1448" s="1168">
        <v>297500</v>
      </c>
      <c r="H1448" s="1168">
        <v>500</v>
      </c>
    </row>
    <row r="1449" spans="1:8" ht="12.75">
      <c r="A1449" s="1822" t="s">
        <v>1856</v>
      </c>
      <c r="B1449" s="379" t="s">
        <v>1857</v>
      </c>
      <c r="C1449" s="1823" t="s">
        <v>3475</v>
      </c>
      <c r="D1449" s="379" t="s">
        <v>3422</v>
      </c>
      <c r="E1449" s="1168">
        <v>2800000</v>
      </c>
      <c r="F1449" s="1168">
        <v>4189000</v>
      </c>
      <c r="G1449" s="1168">
        <v>4188800</v>
      </c>
      <c r="H1449" s="1168">
        <v>200</v>
      </c>
    </row>
    <row r="1450" spans="1:8" ht="12.75">
      <c r="A1450" s="1822" t="s">
        <v>1858</v>
      </c>
      <c r="B1450" s="379" t="s">
        <v>1859</v>
      </c>
      <c r="C1450" s="1823" t="s">
        <v>3477</v>
      </c>
      <c r="D1450" s="379" t="s">
        <v>3422</v>
      </c>
      <c r="E1450" s="1168">
        <v>110000</v>
      </c>
      <c r="F1450" s="1168">
        <v>107000</v>
      </c>
      <c r="G1450" s="1168">
        <v>106701.5</v>
      </c>
      <c r="H1450" s="1168">
        <v>298.5</v>
      </c>
    </row>
    <row r="1451" spans="1:8" ht="12.75">
      <c r="A1451" s="1822">
        <v>2142134071</v>
      </c>
      <c r="B1451" s="379" t="s">
        <v>1860</v>
      </c>
      <c r="C1451" s="1823" t="s">
        <v>3477</v>
      </c>
      <c r="D1451" s="379" t="s">
        <v>3422</v>
      </c>
      <c r="E1451" s="1168">
        <v>7000000</v>
      </c>
      <c r="F1451" s="1168">
        <v>0</v>
      </c>
      <c r="G1451" s="1168">
        <v>0</v>
      </c>
      <c r="H1451" s="1168">
        <v>0</v>
      </c>
    </row>
    <row r="1452" spans="1:8" ht="12.75">
      <c r="A1452" s="1822" t="s">
        <v>1861</v>
      </c>
      <c r="B1452" s="379" t="s">
        <v>1862</v>
      </c>
      <c r="C1452" s="1823" t="s">
        <v>3477</v>
      </c>
      <c r="D1452" s="379" t="s">
        <v>3422</v>
      </c>
      <c r="E1452" s="1168">
        <v>550000</v>
      </c>
      <c r="F1452" s="1168">
        <v>537000</v>
      </c>
      <c r="G1452" s="1168">
        <v>536464</v>
      </c>
      <c r="H1452" s="1168">
        <v>536</v>
      </c>
    </row>
    <row r="1453" spans="1:8" ht="12.75">
      <c r="A1453" s="1822" t="s">
        <v>1863</v>
      </c>
      <c r="B1453" s="379" t="s">
        <v>1864</v>
      </c>
      <c r="C1453" s="1823" t="s">
        <v>3477</v>
      </c>
      <c r="D1453" s="379" t="s">
        <v>3422</v>
      </c>
      <c r="E1453" s="1168">
        <v>4750000</v>
      </c>
      <c r="F1453" s="1168">
        <v>3252000</v>
      </c>
      <c r="G1453" s="1168">
        <v>3252000</v>
      </c>
      <c r="H1453" s="1168">
        <v>0</v>
      </c>
    </row>
    <row r="1454" spans="1:8" ht="12.75">
      <c r="A1454" s="1822" t="s">
        <v>1865</v>
      </c>
      <c r="B1454" s="379" t="s">
        <v>1866</v>
      </c>
      <c r="C1454" s="1823" t="s">
        <v>3477</v>
      </c>
      <c r="D1454" s="379" t="s">
        <v>3422</v>
      </c>
      <c r="E1454" s="1168">
        <v>1220000</v>
      </c>
      <c r="F1454" s="1168">
        <v>1190000</v>
      </c>
      <c r="G1454" s="1168">
        <v>1190000</v>
      </c>
      <c r="H1454" s="1168">
        <v>0</v>
      </c>
    </row>
    <row r="1455" spans="1:8" ht="12.75">
      <c r="A1455" s="1822" t="s">
        <v>1867</v>
      </c>
      <c r="B1455" s="379" t="s">
        <v>1868</v>
      </c>
      <c r="C1455" s="1823" t="s">
        <v>3479</v>
      </c>
      <c r="D1455" s="379" t="s">
        <v>3422</v>
      </c>
      <c r="E1455" s="1168">
        <v>53000</v>
      </c>
      <c r="F1455" s="1168">
        <v>53000</v>
      </c>
      <c r="G1455" s="1168">
        <v>52487</v>
      </c>
      <c r="H1455" s="1168">
        <v>0</v>
      </c>
    </row>
    <row r="1456" spans="1:8" ht="12.75">
      <c r="A1456" s="1822" t="s">
        <v>1869</v>
      </c>
      <c r="B1456" s="379" t="s">
        <v>1870</v>
      </c>
      <c r="C1456" s="1823" t="s">
        <v>3479</v>
      </c>
      <c r="D1456" s="379" t="s">
        <v>3422</v>
      </c>
      <c r="E1456" s="1168">
        <v>103000</v>
      </c>
      <c r="F1456" s="1168">
        <v>103000</v>
      </c>
      <c r="G1456" s="1168">
        <v>103000</v>
      </c>
      <c r="H1456" s="1168">
        <v>0</v>
      </c>
    </row>
    <row r="1457" spans="1:8" ht="12.75">
      <c r="A1457" s="1822" t="s">
        <v>1869</v>
      </c>
      <c r="B1457" s="379" t="s">
        <v>1870</v>
      </c>
      <c r="C1457" s="1823" t="s">
        <v>3479</v>
      </c>
      <c r="D1457" s="379" t="s">
        <v>3422</v>
      </c>
      <c r="E1457" s="1168">
        <v>0</v>
      </c>
      <c r="F1457" s="1168">
        <v>0</v>
      </c>
      <c r="G1457" s="1168">
        <v>200993</v>
      </c>
      <c r="H1457" s="1168">
        <v>0</v>
      </c>
    </row>
    <row r="1458" spans="1:8" ht="12.75">
      <c r="A1458" s="1822" t="s">
        <v>1871</v>
      </c>
      <c r="B1458" s="379" t="s">
        <v>1872</v>
      </c>
      <c r="C1458" s="1823" t="s">
        <v>3479</v>
      </c>
      <c r="D1458" s="379" t="s">
        <v>3422</v>
      </c>
      <c r="E1458" s="1168">
        <v>214000</v>
      </c>
      <c r="F1458" s="1168">
        <v>209000</v>
      </c>
      <c r="G1458" s="1168">
        <v>208728</v>
      </c>
      <c r="H1458" s="1168">
        <v>0</v>
      </c>
    </row>
    <row r="1459" spans="1:8" ht="12.75">
      <c r="A1459" s="1822" t="s">
        <v>1873</v>
      </c>
      <c r="B1459" s="379" t="s">
        <v>0</v>
      </c>
      <c r="C1459" s="1823" t="s">
        <v>3479</v>
      </c>
      <c r="D1459" s="379" t="s">
        <v>3422</v>
      </c>
      <c r="E1459" s="1168">
        <v>110000</v>
      </c>
      <c r="F1459" s="1168">
        <v>81000</v>
      </c>
      <c r="G1459" s="1168">
        <v>80325</v>
      </c>
      <c r="H1459" s="1168">
        <v>0</v>
      </c>
    </row>
    <row r="1460" spans="1:8" ht="12.75">
      <c r="A1460" s="1822">
        <v>2142134079</v>
      </c>
      <c r="B1460" s="379" t="s">
        <v>1</v>
      </c>
      <c r="C1460" s="1823" t="s">
        <v>3479</v>
      </c>
      <c r="D1460" s="379" t="s">
        <v>3422</v>
      </c>
      <c r="E1460" s="1168">
        <v>195000</v>
      </c>
      <c r="F1460" s="1168">
        <v>0</v>
      </c>
      <c r="G1460" s="1168">
        <v>0</v>
      </c>
      <c r="H1460" s="1168">
        <v>0</v>
      </c>
    </row>
    <row r="1461" spans="1:8" ht="12.75">
      <c r="A1461" s="1822" t="s">
        <v>2</v>
      </c>
      <c r="B1461" s="379" t="s">
        <v>3</v>
      </c>
      <c r="C1461" s="1823" t="s">
        <v>3479</v>
      </c>
      <c r="D1461" s="379" t="s">
        <v>3422</v>
      </c>
      <c r="E1461" s="1168">
        <v>80000</v>
      </c>
      <c r="F1461" s="1168">
        <v>78000</v>
      </c>
      <c r="G1461" s="1168">
        <v>77935.2</v>
      </c>
      <c r="H1461" s="1168">
        <v>0</v>
      </c>
    </row>
    <row r="1462" spans="1:8" ht="12.75">
      <c r="A1462" s="1822">
        <v>2142134081</v>
      </c>
      <c r="B1462" s="379" t="s">
        <v>4</v>
      </c>
      <c r="C1462" s="1823" t="s">
        <v>3479</v>
      </c>
      <c r="D1462" s="379" t="s">
        <v>3422</v>
      </c>
      <c r="E1462" s="1168">
        <v>41000</v>
      </c>
      <c r="F1462" s="1168">
        <v>0</v>
      </c>
      <c r="G1462" s="1168">
        <v>0</v>
      </c>
      <c r="H1462" s="1168">
        <v>0</v>
      </c>
    </row>
    <row r="1463" spans="1:8" ht="12.75">
      <c r="A1463" s="1822" t="s">
        <v>5</v>
      </c>
      <c r="B1463" s="379" t="s">
        <v>6</v>
      </c>
      <c r="C1463" s="1823" t="s">
        <v>3479</v>
      </c>
      <c r="D1463" s="379" t="s">
        <v>3422</v>
      </c>
      <c r="E1463" s="1168">
        <v>45000</v>
      </c>
      <c r="F1463" s="1168">
        <v>44000</v>
      </c>
      <c r="G1463" s="1168">
        <v>43893</v>
      </c>
      <c r="H1463" s="1168">
        <v>0</v>
      </c>
    </row>
    <row r="1464" spans="1:8" ht="12.75">
      <c r="A1464" s="1822" t="s">
        <v>7</v>
      </c>
      <c r="B1464" s="379" t="s">
        <v>8</v>
      </c>
      <c r="C1464" s="1823" t="s">
        <v>3479</v>
      </c>
      <c r="D1464" s="379" t="s">
        <v>3422</v>
      </c>
      <c r="E1464" s="1168">
        <v>134000</v>
      </c>
      <c r="F1464" s="1168">
        <v>131000</v>
      </c>
      <c r="G1464" s="1168">
        <v>130505.5</v>
      </c>
      <c r="H1464" s="1168">
        <v>0</v>
      </c>
    </row>
    <row r="1465" spans="1:8" ht="12.75">
      <c r="A1465" s="1822" t="s">
        <v>9</v>
      </c>
      <c r="B1465" s="379" t="s">
        <v>10</v>
      </c>
      <c r="C1465" s="1823" t="s">
        <v>3479</v>
      </c>
      <c r="D1465" s="379" t="s">
        <v>3422</v>
      </c>
      <c r="E1465" s="1168">
        <v>115000</v>
      </c>
      <c r="F1465" s="1168">
        <v>96000</v>
      </c>
      <c r="G1465" s="1168">
        <v>95200</v>
      </c>
      <c r="H1465" s="1168">
        <v>0</v>
      </c>
    </row>
    <row r="1466" spans="1:8" ht="12.75">
      <c r="A1466" s="1822" t="s">
        <v>11</v>
      </c>
      <c r="B1466" s="379" t="s">
        <v>12</v>
      </c>
      <c r="C1466" s="1823" t="s">
        <v>3479</v>
      </c>
      <c r="D1466" s="379" t="s">
        <v>3422</v>
      </c>
      <c r="E1466" s="1168">
        <v>70000</v>
      </c>
      <c r="F1466" s="1168">
        <v>109000</v>
      </c>
      <c r="G1466" s="1168">
        <v>108099.6</v>
      </c>
      <c r="H1466" s="1168">
        <v>0</v>
      </c>
    </row>
    <row r="1467" spans="1:8" ht="12.75">
      <c r="A1467" s="1822" t="s">
        <v>13</v>
      </c>
      <c r="B1467" s="379" t="s">
        <v>14</v>
      </c>
      <c r="C1467" s="1823" t="s">
        <v>3479</v>
      </c>
      <c r="D1467" s="379" t="s">
        <v>3422</v>
      </c>
      <c r="E1467" s="1168">
        <v>55000</v>
      </c>
      <c r="F1467" s="1168">
        <v>66000</v>
      </c>
      <c r="G1467" s="1168">
        <v>65331</v>
      </c>
      <c r="H1467" s="1168">
        <v>0</v>
      </c>
    </row>
    <row r="1468" spans="1:8" ht="12.75">
      <c r="A1468" s="1822" t="s">
        <v>15</v>
      </c>
      <c r="B1468" s="379" t="s">
        <v>16</v>
      </c>
      <c r="C1468" s="1823" t="s">
        <v>3479</v>
      </c>
      <c r="D1468" s="379" t="s">
        <v>3422</v>
      </c>
      <c r="E1468" s="1168">
        <v>125000</v>
      </c>
      <c r="F1468" s="1168">
        <v>122000</v>
      </c>
      <c r="G1468" s="1168">
        <v>121813</v>
      </c>
      <c r="H1468" s="1168">
        <v>0</v>
      </c>
    </row>
    <row r="1469" spans="1:8" ht="12.75">
      <c r="A1469" s="1822" t="s">
        <v>17</v>
      </c>
      <c r="B1469" s="379" t="s">
        <v>18</v>
      </c>
      <c r="C1469" s="1823" t="s">
        <v>3479</v>
      </c>
      <c r="D1469" s="379" t="s">
        <v>3422</v>
      </c>
      <c r="E1469" s="1168">
        <v>300000</v>
      </c>
      <c r="F1469" s="1168">
        <v>300000</v>
      </c>
      <c r="G1469" s="1168">
        <v>299900</v>
      </c>
      <c r="H1469" s="1168">
        <v>0</v>
      </c>
    </row>
    <row r="1470" spans="1:8" ht="12.75">
      <c r="A1470" s="1822" t="s">
        <v>19</v>
      </c>
      <c r="B1470" s="379" t="s">
        <v>20</v>
      </c>
      <c r="C1470" s="1823" t="s">
        <v>3479</v>
      </c>
      <c r="D1470" s="379" t="s">
        <v>3422</v>
      </c>
      <c r="E1470" s="1168">
        <v>300000</v>
      </c>
      <c r="F1470" s="1168">
        <v>300000</v>
      </c>
      <c r="G1470" s="1168">
        <v>299900</v>
      </c>
      <c r="H1470" s="1168">
        <v>0</v>
      </c>
    </row>
    <row r="1471" spans="1:8" ht="12.75">
      <c r="A1471" s="1822" t="s">
        <v>21</v>
      </c>
      <c r="B1471" s="379" t="s">
        <v>22</v>
      </c>
      <c r="C1471" s="1823" t="s">
        <v>3479</v>
      </c>
      <c r="D1471" s="379" t="s">
        <v>3422</v>
      </c>
      <c r="E1471" s="1168">
        <v>3700000</v>
      </c>
      <c r="F1471" s="1168">
        <v>3700000</v>
      </c>
      <c r="G1471" s="1168">
        <v>3699948</v>
      </c>
      <c r="H1471" s="1168">
        <v>0</v>
      </c>
    </row>
    <row r="1472" spans="1:8" ht="12.75">
      <c r="A1472" s="1822" t="s">
        <v>23</v>
      </c>
      <c r="B1472" s="379" t="s">
        <v>24</v>
      </c>
      <c r="C1472" s="1823" t="s">
        <v>3479</v>
      </c>
      <c r="D1472" s="379" t="s">
        <v>3422</v>
      </c>
      <c r="E1472" s="1168">
        <v>6500000</v>
      </c>
      <c r="F1472" s="1168">
        <v>6305000</v>
      </c>
      <c r="G1472" s="1168">
        <v>6304341.6</v>
      </c>
      <c r="H1472" s="1168">
        <v>0</v>
      </c>
    </row>
    <row r="1473" spans="1:8" ht="12.75">
      <c r="A1473" s="1822" t="s">
        <v>25</v>
      </c>
      <c r="B1473" s="379" t="s">
        <v>26</v>
      </c>
      <c r="C1473" s="1823" t="s">
        <v>3479</v>
      </c>
      <c r="D1473" s="379" t="s">
        <v>3422</v>
      </c>
      <c r="E1473" s="1168">
        <v>6900000</v>
      </c>
      <c r="F1473" s="1168">
        <v>6666000</v>
      </c>
      <c r="G1473" s="1168">
        <v>6665057</v>
      </c>
      <c r="H1473" s="1168">
        <v>0</v>
      </c>
    </row>
    <row r="1474" spans="1:8" ht="12.75">
      <c r="A1474" s="1822" t="s">
        <v>27</v>
      </c>
      <c r="B1474" s="379" t="s">
        <v>28</v>
      </c>
      <c r="C1474" s="1823" t="s">
        <v>3479</v>
      </c>
      <c r="D1474" s="379" t="s">
        <v>3422</v>
      </c>
      <c r="E1474" s="1168">
        <v>2100000</v>
      </c>
      <c r="F1474" s="1168">
        <v>2047000</v>
      </c>
      <c r="G1474" s="1168">
        <v>2046995</v>
      </c>
      <c r="H1474" s="1168">
        <v>0</v>
      </c>
    </row>
    <row r="1475" spans="1:8" ht="12.75">
      <c r="A1475" s="1822" t="s">
        <v>29</v>
      </c>
      <c r="B1475" s="379" t="s">
        <v>30</v>
      </c>
      <c r="C1475" s="1823" t="s">
        <v>3481</v>
      </c>
      <c r="D1475" s="379" t="s">
        <v>3422</v>
      </c>
      <c r="E1475" s="1168">
        <v>2200000</v>
      </c>
      <c r="F1475" s="1168">
        <v>2142000</v>
      </c>
      <c r="G1475" s="1168">
        <v>2142000</v>
      </c>
      <c r="H1475" s="1168">
        <v>0</v>
      </c>
    </row>
    <row r="1476" spans="1:8" ht="12.75">
      <c r="A1476" s="1822" t="s">
        <v>31</v>
      </c>
      <c r="B1476" s="379" t="s">
        <v>32</v>
      </c>
      <c r="C1476" s="1823" t="s">
        <v>3481</v>
      </c>
      <c r="D1476" s="379" t="s">
        <v>3422</v>
      </c>
      <c r="E1476" s="1168">
        <v>0</v>
      </c>
      <c r="F1476" s="1168">
        <v>0</v>
      </c>
      <c r="G1476" s="1168">
        <v>1800000</v>
      </c>
      <c r="H1476" s="1168">
        <v>0</v>
      </c>
    </row>
    <row r="1477" spans="1:8" ht="12.75">
      <c r="A1477" s="1822" t="s">
        <v>31</v>
      </c>
      <c r="B1477" s="379" t="s">
        <v>32</v>
      </c>
      <c r="C1477" s="1823" t="s">
        <v>3481</v>
      </c>
      <c r="D1477" s="379" t="s">
        <v>3422</v>
      </c>
      <c r="E1477" s="1168">
        <v>2800000</v>
      </c>
      <c r="F1477" s="1168">
        <v>2874000</v>
      </c>
      <c r="G1477" s="1168">
        <v>2873718</v>
      </c>
      <c r="H1477" s="1168">
        <v>282</v>
      </c>
    </row>
    <row r="1478" spans="1:8" ht="12.75">
      <c r="A1478" s="1822" t="s">
        <v>33</v>
      </c>
      <c r="B1478" s="379" t="s">
        <v>1766</v>
      </c>
      <c r="C1478" s="1823" t="s">
        <v>3483</v>
      </c>
      <c r="D1478" s="379" t="s">
        <v>3422</v>
      </c>
      <c r="E1478" s="1168">
        <v>1150000</v>
      </c>
      <c r="F1478" s="1168">
        <v>1062000</v>
      </c>
      <c r="G1478" s="1168">
        <v>1061207.5</v>
      </c>
      <c r="H1478" s="1168">
        <v>792.5</v>
      </c>
    </row>
    <row r="1479" spans="1:8" ht="12.75">
      <c r="A1479" s="1822" t="s">
        <v>34</v>
      </c>
      <c r="B1479" s="379" t="s">
        <v>1857</v>
      </c>
      <c r="C1479" s="1823" t="s">
        <v>3483</v>
      </c>
      <c r="D1479" s="379" t="s">
        <v>3422</v>
      </c>
      <c r="E1479" s="1168">
        <v>2800000</v>
      </c>
      <c r="F1479" s="1168">
        <v>4097000</v>
      </c>
      <c r="G1479" s="1168">
        <v>4096694</v>
      </c>
      <c r="H1479" s="1168">
        <v>306</v>
      </c>
    </row>
    <row r="1480" spans="1:8" ht="12.75">
      <c r="A1480" s="1822" t="s">
        <v>35</v>
      </c>
      <c r="B1480" s="379" t="s">
        <v>36</v>
      </c>
      <c r="C1480" s="1823" t="s">
        <v>3487</v>
      </c>
      <c r="D1480" s="379" t="s">
        <v>3422</v>
      </c>
      <c r="E1480" s="1168">
        <v>680000</v>
      </c>
      <c r="F1480" s="1168">
        <v>680000</v>
      </c>
      <c r="G1480" s="1168">
        <v>680000</v>
      </c>
      <c r="H1480" s="1168">
        <v>0</v>
      </c>
    </row>
    <row r="1481" spans="1:8" ht="12.75">
      <c r="A1481" s="1822" t="s">
        <v>37</v>
      </c>
      <c r="B1481" s="379" t="s">
        <v>38</v>
      </c>
      <c r="C1481" s="1823" t="s">
        <v>3487</v>
      </c>
      <c r="D1481" s="379" t="s">
        <v>3422</v>
      </c>
      <c r="E1481" s="1168">
        <v>460000</v>
      </c>
      <c r="F1481" s="1168">
        <v>460000</v>
      </c>
      <c r="G1481" s="1168">
        <v>460000</v>
      </c>
      <c r="H1481" s="1168">
        <v>0</v>
      </c>
    </row>
    <row r="1482" spans="1:8" ht="12.75">
      <c r="A1482" s="1822" t="s">
        <v>39</v>
      </c>
      <c r="B1482" s="379" t="s">
        <v>40</v>
      </c>
      <c r="C1482" s="1823" t="s">
        <v>3487</v>
      </c>
      <c r="D1482" s="379" t="s">
        <v>3422</v>
      </c>
      <c r="E1482" s="1168">
        <v>600000</v>
      </c>
      <c r="F1482" s="1168">
        <v>584000</v>
      </c>
      <c r="G1482" s="1168">
        <v>583100</v>
      </c>
      <c r="H1482" s="1168">
        <v>900</v>
      </c>
    </row>
    <row r="1483" spans="1:8" ht="12.75">
      <c r="A1483" s="1822" t="s">
        <v>41</v>
      </c>
      <c r="B1483" s="379" t="s">
        <v>42</v>
      </c>
      <c r="C1483" s="1823" t="s">
        <v>3485</v>
      </c>
      <c r="D1483" s="379" t="s">
        <v>3422</v>
      </c>
      <c r="E1483" s="1168">
        <v>1880000</v>
      </c>
      <c r="F1483" s="1168">
        <v>1834000</v>
      </c>
      <c r="G1483" s="1168">
        <v>1833770</v>
      </c>
      <c r="H1483" s="1168">
        <v>230</v>
      </c>
    </row>
    <row r="1484" spans="1:8" ht="12.75">
      <c r="A1484" s="1822" t="s">
        <v>43</v>
      </c>
      <c r="B1484" s="379" t="s">
        <v>44</v>
      </c>
      <c r="C1484" s="1823" t="s">
        <v>3485</v>
      </c>
      <c r="D1484" s="379" t="s">
        <v>3422</v>
      </c>
      <c r="E1484" s="1168">
        <v>2500000</v>
      </c>
      <c r="F1484" s="1168">
        <v>2905000</v>
      </c>
      <c r="G1484" s="1168">
        <v>2904195</v>
      </c>
      <c r="H1484" s="1168">
        <v>805</v>
      </c>
    </row>
    <row r="1485" spans="1:8" ht="12.75">
      <c r="A1485" s="1822" t="s">
        <v>45</v>
      </c>
      <c r="B1485" s="379" t="s">
        <v>1758</v>
      </c>
      <c r="C1485" s="1823" t="s">
        <v>3461</v>
      </c>
      <c r="D1485" s="379" t="s">
        <v>3422</v>
      </c>
      <c r="E1485" s="1168">
        <v>600000</v>
      </c>
      <c r="F1485" s="1168">
        <v>606000</v>
      </c>
      <c r="G1485" s="1168">
        <v>605802</v>
      </c>
      <c r="H1485" s="1168">
        <v>0</v>
      </c>
    </row>
    <row r="1486" spans="1:8" ht="12.75">
      <c r="A1486" s="1822" t="s">
        <v>46</v>
      </c>
      <c r="B1486" s="379" t="s">
        <v>47</v>
      </c>
      <c r="C1486" s="1823" t="s">
        <v>3461</v>
      </c>
      <c r="D1486" s="379" t="s">
        <v>3422</v>
      </c>
      <c r="E1486" s="1168">
        <v>70000</v>
      </c>
      <c r="F1486" s="1168">
        <v>63000</v>
      </c>
      <c r="G1486" s="1168">
        <v>62751</v>
      </c>
      <c r="H1486" s="1168">
        <v>0</v>
      </c>
    </row>
    <row r="1487" spans="1:8" ht="12.75">
      <c r="A1487" s="1822" t="s">
        <v>48</v>
      </c>
      <c r="B1487" s="379" t="s">
        <v>49</v>
      </c>
      <c r="C1487" s="1823" t="s">
        <v>3461</v>
      </c>
      <c r="D1487" s="379" t="s">
        <v>3422</v>
      </c>
      <c r="E1487" s="1168">
        <v>130000</v>
      </c>
      <c r="F1487" s="1168">
        <v>124000</v>
      </c>
      <c r="G1487" s="1168">
        <v>123998</v>
      </c>
      <c r="H1487" s="1168">
        <v>0</v>
      </c>
    </row>
    <row r="1488" spans="1:8" ht="12.75">
      <c r="A1488" s="1822" t="s">
        <v>50</v>
      </c>
      <c r="B1488" s="379" t="s">
        <v>51</v>
      </c>
      <c r="C1488" s="1823" t="s">
        <v>3461</v>
      </c>
      <c r="D1488" s="379" t="s">
        <v>3422</v>
      </c>
      <c r="E1488" s="1168">
        <v>200000</v>
      </c>
      <c r="F1488" s="1168">
        <v>200000</v>
      </c>
      <c r="G1488" s="1168">
        <v>199988</v>
      </c>
      <c r="H1488" s="1168">
        <v>0</v>
      </c>
    </row>
    <row r="1489" spans="1:8" ht="12.75">
      <c r="A1489" s="1822" t="s">
        <v>52</v>
      </c>
      <c r="B1489" s="379" t="s">
        <v>1739</v>
      </c>
      <c r="C1489" s="1823" t="s">
        <v>3462</v>
      </c>
      <c r="D1489" s="379" t="s">
        <v>3422</v>
      </c>
      <c r="E1489" s="1168">
        <v>0</v>
      </c>
      <c r="F1489" s="1168">
        <v>15410000</v>
      </c>
      <c r="G1489" s="1168">
        <v>15409552.8</v>
      </c>
      <c r="H1489" s="1168">
        <v>447.2</v>
      </c>
    </row>
    <row r="1490" spans="1:8" ht="12.75">
      <c r="A1490" s="1822" t="s">
        <v>53</v>
      </c>
      <c r="B1490" s="379" t="s">
        <v>54</v>
      </c>
      <c r="C1490" s="1823" t="s">
        <v>3462</v>
      </c>
      <c r="D1490" s="379" t="s">
        <v>3422</v>
      </c>
      <c r="E1490" s="1168">
        <v>0</v>
      </c>
      <c r="F1490" s="1168">
        <v>2366000</v>
      </c>
      <c r="G1490" s="1168">
        <v>2365125</v>
      </c>
      <c r="H1490" s="1168">
        <v>875</v>
      </c>
    </row>
    <row r="1491" spans="1:8" ht="12.75">
      <c r="A1491" s="1822" t="s">
        <v>55</v>
      </c>
      <c r="B1491" s="379" t="s">
        <v>56</v>
      </c>
      <c r="C1491" s="1823" t="s">
        <v>3464</v>
      </c>
      <c r="D1491" s="379" t="s">
        <v>3422</v>
      </c>
      <c r="E1491" s="1168">
        <v>0</v>
      </c>
      <c r="F1491" s="1168">
        <v>8084000</v>
      </c>
      <c r="G1491" s="1168">
        <v>0</v>
      </c>
      <c r="H1491" s="1168">
        <v>8084000</v>
      </c>
    </row>
    <row r="1492" spans="1:8" ht="12.75">
      <c r="A1492" s="1822" t="s">
        <v>57</v>
      </c>
      <c r="B1492" s="379" t="s">
        <v>58</v>
      </c>
      <c r="C1492" s="1823" t="s">
        <v>3464</v>
      </c>
      <c r="D1492" s="379" t="s">
        <v>3422</v>
      </c>
      <c r="E1492" s="1168">
        <v>0</v>
      </c>
      <c r="F1492" s="1168">
        <v>12722000</v>
      </c>
      <c r="G1492" s="1168">
        <v>12721100</v>
      </c>
      <c r="H1492" s="1168">
        <v>900</v>
      </c>
    </row>
    <row r="1493" spans="1:8" ht="12.75">
      <c r="A1493" s="1822" t="s">
        <v>59</v>
      </c>
      <c r="B1493" s="379" t="s">
        <v>60</v>
      </c>
      <c r="C1493" s="1823" t="s">
        <v>3464</v>
      </c>
      <c r="D1493" s="379" t="s">
        <v>3422</v>
      </c>
      <c r="E1493" s="1168">
        <v>0</v>
      </c>
      <c r="F1493" s="1168">
        <v>7537000</v>
      </c>
      <c r="G1493" s="1168">
        <v>7536898</v>
      </c>
      <c r="H1493" s="1168">
        <v>102</v>
      </c>
    </row>
    <row r="1494" spans="1:8" ht="12.75">
      <c r="A1494" s="1822" t="s">
        <v>61</v>
      </c>
      <c r="B1494" s="379" t="s">
        <v>1770</v>
      </c>
      <c r="C1494" s="1823" t="s">
        <v>3466</v>
      </c>
      <c r="D1494" s="379" t="s">
        <v>3422</v>
      </c>
      <c r="E1494" s="1168">
        <v>0</v>
      </c>
      <c r="F1494" s="1168">
        <v>6020000</v>
      </c>
      <c r="G1494" s="1168">
        <v>6019972</v>
      </c>
      <c r="H1494" s="1168">
        <v>28</v>
      </c>
    </row>
    <row r="1495" spans="1:8" ht="12.75">
      <c r="A1495" s="1822" t="s">
        <v>62</v>
      </c>
      <c r="B1495" s="379" t="s">
        <v>63</v>
      </c>
      <c r="C1495" s="1823" t="s">
        <v>3466</v>
      </c>
      <c r="D1495" s="379" t="s">
        <v>3422</v>
      </c>
      <c r="E1495" s="1168">
        <v>0</v>
      </c>
      <c r="F1495" s="1168">
        <v>8300000</v>
      </c>
      <c r="G1495" s="1168">
        <v>8299402.8</v>
      </c>
      <c r="H1495" s="1168">
        <v>597.2</v>
      </c>
    </row>
    <row r="1496" spans="1:8" ht="12.75">
      <c r="A1496" s="1822" t="s">
        <v>64</v>
      </c>
      <c r="B1496" s="379" t="s">
        <v>1772</v>
      </c>
      <c r="C1496" s="1823" t="s">
        <v>3466</v>
      </c>
      <c r="D1496" s="379" t="s">
        <v>3422</v>
      </c>
      <c r="E1496" s="1168">
        <v>0</v>
      </c>
      <c r="F1496" s="1168">
        <v>1342000</v>
      </c>
      <c r="G1496" s="1168">
        <v>1341487</v>
      </c>
      <c r="H1496" s="1168">
        <v>513</v>
      </c>
    </row>
    <row r="1497" spans="1:8" ht="12.75">
      <c r="A1497" s="1822" t="s">
        <v>65</v>
      </c>
      <c r="B1497" s="379" t="s">
        <v>66</v>
      </c>
      <c r="C1497" s="1823" t="s">
        <v>3468</v>
      </c>
      <c r="D1497" s="379" t="s">
        <v>3422</v>
      </c>
      <c r="E1497" s="1168">
        <v>0</v>
      </c>
      <c r="F1497" s="1168">
        <v>3731000</v>
      </c>
      <c r="G1497" s="1168">
        <v>3730510</v>
      </c>
      <c r="H1497" s="1168">
        <v>490</v>
      </c>
    </row>
    <row r="1498" spans="1:8" ht="12.75">
      <c r="A1498" s="1822" t="s">
        <v>67</v>
      </c>
      <c r="B1498" s="379" t="s">
        <v>22</v>
      </c>
      <c r="C1498" s="1823" t="s">
        <v>3469</v>
      </c>
      <c r="D1498" s="379" t="s">
        <v>3422</v>
      </c>
      <c r="E1498" s="1168">
        <v>0</v>
      </c>
      <c r="F1498" s="1168">
        <v>4260000</v>
      </c>
      <c r="G1498" s="1168">
        <v>4259010</v>
      </c>
      <c r="H1498" s="1168">
        <v>990</v>
      </c>
    </row>
    <row r="1499" spans="1:8" ht="12.75">
      <c r="A1499" s="1822" t="s">
        <v>68</v>
      </c>
      <c r="B1499" s="379" t="s">
        <v>69</v>
      </c>
      <c r="C1499" s="1823" t="s">
        <v>3469</v>
      </c>
      <c r="D1499" s="379" t="s">
        <v>3422</v>
      </c>
      <c r="E1499" s="1168">
        <v>0</v>
      </c>
      <c r="F1499" s="1168">
        <v>2146000</v>
      </c>
      <c r="G1499" s="1168">
        <v>0</v>
      </c>
      <c r="H1499" s="1168">
        <v>2146000</v>
      </c>
    </row>
    <row r="1500" spans="1:8" ht="12.75">
      <c r="A1500" s="1822" t="s">
        <v>70</v>
      </c>
      <c r="B1500" s="379" t="s">
        <v>71</v>
      </c>
      <c r="C1500" s="1823" t="s">
        <v>3471</v>
      </c>
      <c r="D1500" s="379" t="s">
        <v>3422</v>
      </c>
      <c r="E1500" s="1168">
        <v>0</v>
      </c>
      <c r="F1500" s="1168">
        <v>13678000</v>
      </c>
      <c r="G1500" s="1168">
        <v>13678000</v>
      </c>
      <c r="H1500" s="1168">
        <v>0</v>
      </c>
    </row>
    <row r="1501" spans="1:8" ht="12.75">
      <c r="A1501" s="1822" t="s">
        <v>72</v>
      </c>
      <c r="B1501" s="379" t="s">
        <v>1743</v>
      </c>
      <c r="C1501" s="1823" t="s">
        <v>3471</v>
      </c>
      <c r="D1501" s="379" t="s">
        <v>3422</v>
      </c>
      <c r="E1501" s="1168">
        <v>0</v>
      </c>
      <c r="F1501" s="1168">
        <v>1463000</v>
      </c>
      <c r="G1501" s="1168">
        <v>1462700</v>
      </c>
      <c r="H1501" s="1168">
        <v>300</v>
      </c>
    </row>
    <row r="1502" spans="1:8" ht="12.75">
      <c r="A1502" s="1822" t="s">
        <v>73</v>
      </c>
      <c r="B1502" s="379" t="s">
        <v>74</v>
      </c>
      <c r="C1502" s="1823" t="s">
        <v>3473</v>
      </c>
      <c r="D1502" s="379" t="s">
        <v>3422</v>
      </c>
      <c r="E1502" s="1168">
        <v>0</v>
      </c>
      <c r="F1502" s="1168">
        <v>5338000</v>
      </c>
      <c r="G1502" s="1168">
        <v>5337150</v>
      </c>
      <c r="H1502" s="1168">
        <v>850</v>
      </c>
    </row>
    <row r="1503" spans="1:8" ht="12.75">
      <c r="A1503" s="1822" t="s">
        <v>75</v>
      </c>
      <c r="B1503" s="379" t="s">
        <v>76</v>
      </c>
      <c r="C1503" s="1823" t="s">
        <v>3473</v>
      </c>
      <c r="D1503" s="379" t="s">
        <v>3422</v>
      </c>
      <c r="E1503" s="1168">
        <v>0</v>
      </c>
      <c r="F1503" s="1168">
        <v>2146000</v>
      </c>
      <c r="G1503" s="1168">
        <v>2145570</v>
      </c>
      <c r="H1503" s="1168">
        <v>430</v>
      </c>
    </row>
    <row r="1504" spans="1:8" ht="12.75">
      <c r="A1504" s="1822" t="s">
        <v>77</v>
      </c>
      <c r="B1504" s="379" t="s">
        <v>78</v>
      </c>
      <c r="C1504" s="1823" t="s">
        <v>3475</v>
      </c>
      <c r="D1504" s="379" t="s">
        <v>3422</v>
      </c>
      <c r="E1504" s="1168">
        <v>0</v>
      </c>
      <c r="F1504" s="1168">
        <v>2329000</v>
      </c>
      <c r="G1504" s="1168">
        <v>2328099.8</v>
      </c>
      <c r="H1504" s="1168">
        <v>900.2</v>
      </c>
    </row>
    <row r="1505" spans="1:8" ht="12.75">
      <c r="A1505" s="1822" t="s">
        <v>79</v>
      </c>
      <c r="B1505" s="379" t="s">
        <v>78</v>
      </c>
      <c r="C1505" s="1823" t="s">
        <v>3475</v>
      </c>
      <c r="D1505" s="379" t="s">
        <v>3422</v>
      </c>
      <c r="E1505" s="1168">
        <v>0</v>
      </c>
      <c r="F1505" s="1168">
        <v>2319000</v>
      </c>
      <c r="G1505" s="1168">
        <v>2318749.8</v>
      </c>
      <c r="H1505" s="1168">
        <v>250.2</v>
      </c>
    </row>
    <row r="1506" spans="1:8" ht="12.75">
      <c r="A1506" s="1822" t="s">
        <v>80</v>
      </c>
      <c r="B1506" s="379" t="s">
        <v>81</v>
      </c>
      <c r="C1506" s="1823" t="s">
        <v>3475</v>
      </c>
      <c r="D1506" s="379" t="s">
        <v>3422</v>
      </c>
      <c r="E1506" s="1168">
        <v>0</v>
      </c>
      <c r="F1506" s="1168">
        <v>1530000</v>
      </c>
      <c r="G1506" s="1168">
        <v>1529150</v>
      </c>
      <c r="H1506" s="1168">
        <v>850</v>
      </c>
    </row>
    <row r="1507" spans="1:8" ht="12.75">
      <c r="A1507" s="1822" t="s">
        <v>82</v>
      </c>
      <c r="B1507" s="379" t="s">
        <v>83</v>
      </c>
      <c r="C1507" s="1823" t="s">
        <v>3475</v>
      </c>
      <c r="D1507" s="379" t="s">
        <v>3422</v>
      </c>
      <c r="E1507" s="1168">
        <v>0</v>
      </c>
      <c r="F1507" s="1168">
        <v>1761000</v>
      </c>
      <c r="G1507" s="1168">
        <v>1760010</v>
      </c>
      <c r="H1507" s="1168">
        <v>990</v>
      </c>
    </row>
    <row r="1508" spans="1:8" ht="12.75">
      <c r="A1508" s="1822" t="s">
        <v>84</v>
      </c>
      <c r="B1508" s="379" t="s">
        <v>85</v>
      </c>
      <c r="C1508" s="1823" t="s">
        <v>3481</v>
      </c>
      <c r="D1508" s="379" t="s">
        <v>3422</v>
      </c>
      <c r="E1508" s="1168">
        <v>0</v>
      </c>
      <c r="F1508" s="1168">
        <v>6200000</v>
      </c>
      <c r="G1508" s="1168">
        <v>6199950</v>
      </c>
      <c r="H1508" s="1168">
        <v>50</v>
      </c>
    </row>
    <row r="1509" spans="1:8" ht="12.75">
      <c r="A1509" s="1822" t="s">
        <v>86</v>
      </c>
      <c r="B1509" s="379" t="s">
        <v>85</v>
      </c>
      <c r="C1509" s="1823" t="s">
        <v>3481</v>
      </c>
      <c r="D1509" s="379" t="s">
        <v>3422</v>
      </c>
      <c r="E1509" s="1168">
        <v>0</v>
      </c>
      <c r="F1509" s="1168">
        <v>0</v>
      </c>
      <c r="G1509" s="1168">
        <v>6000000</v>
      </c>
      <c r="H1509" s="1168">
        <v>0</v>
      </c>
    </row>
    <row r="1510" spans="1:8" ht="12.75">
      <c r="A1510" s="1822" t="s">
        <v>86</v>
      </c>
      <c r="B1510" s="379" t="s">
        <v>85</v>
      </c>
      <c r="C1510" s="1823" t="s">
        <v>3481</v>
      </c>
      <c r="D1510" s="379" t="s">
        <v>3422</v>
      </c>
      <c r="E1510" s="1168">
        <v>0</v>
      </c>
      <c r="F1510" s="1168">
        <v>6400000</v>
      </c>
      <c r="G1510" s="1168">
        <v>6399900</v>
      </c>
      <c r="H1510" s="1168">
        <v>100</v>
      </c>
    </row>
    <row r="1511" spans="1:8" ht="12.75">
      <c r="A1511" s="1822" t="s">
        <v>87</v>
      </c>
      <c r="B1511" s="379" t="s">
        <v>85</v>
      </c>
      <c r="C1511" s="1823" t="s">
        <v>3481</v>
      </c>
      <c r="D1511" s="379" t="s">
        <v>3422</v>
      </c>
      <c r="E1511" s="1168">
        <v>0</v>
      </c>
      <c r="F1511" s="1168">
        <v>6200000</v>
      </c>
      <c r="G1511" s="1168">
        <v>6199950</v>
      </c>
      <c r="H1511" s="1168">
        <v>50</v>
      </c>
    </row>
    <row r="1512" spans="1:8" ht="12.75">
      <c r="A1512" s="1822" t="s">
        <v>88</v>
      </c>
      <c r="B1512" s="379" t="s">
        <v>89</v>
      </c>
      <c r="C1512" s="1823" t="s">
        <v>3481</v>
      </c>
      <c r="D1512" s="379" t="s">
        <v>3422</v>
      </c>
      <c r="E1512" s="1168">
        <v>0</v>
      </c>
      <c r="F1512" s="1168">
        <v>908000</v>
      </c>
      <c r="G1512" s="1168">
        <v>907101.3</v>
      </c>
      <c r="H1512" s="1168">
        <v>898.7</v>
      </c>
    </row>
    <row r="1513" spans="1:8" ht="12.75">
      <c r="A1513" s="1822" t="s">
        <v>90</v>
      </c>
      <c r="B1513" s="379" t="s">
        <v>91</v>
      </c>
      <c r="C1513" s="1823" t="s">
        <v>3483</v>
      </c>
      <c r="D1513" s="379" t="s">
        <v>3422</v>
      </c>
      <c r="E1513" s="1168">
        <v>0</v>
      </c>
      <c r="F1513" s="1168">
        <v>6046000</v>
      </c>
      <c r="G1513" s="1168">
        <v>6045104.8</v>
      </c>
      <c r="H1513" s="1168">
        <v>895.2</v>
      </c>
    </row>
    <row r="1514" spans="1:8" ht="12.75">
      <c r="A1514" s="1822" t="s">
        <v>92</v>
      </c>
      <c r="B1514" s="379" t="s">
        <v>93</v>
      </c>
      <c r="C1514" s="1823" t="s">
        <v>3483</v>
      </c>
      <c r="D1514" s="379" t="s">
        <v>3422</v>
      </c>
      <c r="E1514" s="1168">
        <v>0</v>
      </c>
      <c r="F1514" s="1168">
        <v>2927000</v>
      </c>
      <c r="G1514" s="1168">
        <v>2926210</v>
      </c>
      <c r="H1514" s="1168">
        <v>790</v>
      </c>
    </row>
    <row r="1515" spans="1:8" ht="12.75">
      <c r="A1515" s="1822" t="s">
        <v>94</v>
      </c>
      <c r="B1515" s="379" t="s">
        <v>1481</v>
      </c>
      <c r="C1515" s="1823" t="s">
        <v>3483</v>
      </c>
      <c r="D1515" s="379" t="s">
        <v>3422</v>
      </c>
      <c r="E1515" s="1168">
        <v>0</v>
      </c>
      <c r="F1515" s="1168">
        <v>725000</v>
      </c>
      <c r="G1515" s="1168">
        <v>724406</v>
      </c>
      <c r="H1515" s="1168">
        <v>594</v>
      </c>
    </row>
    <row r="1516" spans="1:8" ht="12.75">
      <c r="A1516" s="1822" t="s">
        <v>95</v>
      </c>
      <c r="B1516" s="379" t="s">
        <v>71</v>
      </c>
      <c r="C1516" s="1823" t="s">
        <v>3487</v>
      </c>
      <c r="D1516" s="379" t="s">
        <v>3422</v>
      </c>
      <c r="E1516" s="1168">
        <v>0</v>
      </c>
      <c r="F1516" s="1168">
        <v>10690000</v>
      </c>
      <c r="G1516" s="1168">
        <v>10690000</v>
      </c>
      <c r="H1516" s="1168">
        <v>0</v>
      </c>
    </row>
    <row r="1517" spans="1:8" ht="12.75">
      <c r="A1517" s="1822">
        <v>2142134138</v>
      </c>
      <c r="B1517" s="379" t="s">
        <v>96</v>
      </c>
      <c r="C1517" s="1823" t="s">
        <v>3485</v>
      </c>
      <c r="D1517" s="379" t="s">
        <v>3422</v>
      </c>
      <c r="E1517" s="1168">
        <v>0</v>
      </c>
      <c r="F1517" s="1168">
        <v>0</v>
      </c>
      <c r="G1517" s="1168">
        <v>0</v>
      </c>
      <c r="H1517" s="1168">
        <v>0</v>
      </c>
    </row>
    <row r="1518" spans="1:8" ht="12.75">
      <c r="A1518" s="1822" t="s">
        <v>97</v>
      </c>
      <c r="B1518" s="379" t="s">
        <v>1770</v>
      </c>
      <c r="C1518" s="1823" t="s">
        <v>3485</v>
      </c>
      <c r="D1518" s="379" t="s">
        <v>3422</v>
      </c>
      <c r="E1518" s="1168">
        <v>0</v>
      </c>
      <c r="F1518" s="1168">
        <v>20521000</v>
      </c>
      <c r="G1518" s="1168">
        <v>20520217.2</v>
      </c>
      <c r="H1518" s="1168">
        <v>782.8</v>
      </c>
    </row>
    <row r="1519" spans="1:8" ht="12.75">
      <c r="A1519" s="1822" t="s">
        <v>98</v>
      </c>
      <c r="B1519" s="379" t="s">
        <v>99</v>
      </c>
      <c r="C1519" s="1823" t="s">
        <v>3485</v>
      </c>
      <c r="D1519" s="379" t="s">
        <v>3422</v>
      </c>
      <c r="E1519" s="1168">
        <v>0</v>
      </c>
      <c r="F1519" s="1168">
        <v>0</v>
      </c>
      <c r="G1519" s="1168">
        <v>820000</v>
      </c>
      <c r="H1519" s="1168">
        <v>0</v>
      </c>
    </row>
    <row r="1520" spans="1:8" ht="12.75">
      <c r="A1520" s="1822" t="s">
        <v>98</v>
      </c>
      <c r="B1520" s="379" t="s">
        <v>99</v>
      </c>
      <c r="C1520" s="1823" t="s">
        <v>3485</v>
      </c>
      <c r="D1520" s="379" t="s">
        <v>3422</v>
      </c>
      <c r="E1520" s="1168">
        <v>0</v>
      </c>
      <c r="F1520" s="1168">
        <v>1638000</v>
      </c>
      <c r="G1520" s="1168">
        <v>1637350</v>
      </c>
      <c r="H1520" s="1168">
        <v>650</v>
      </c>
    </row>
    <row r="1521" spans="1:8" ht="12.75">
      <c r="A1521" s="1822" t="s">
        <v>100</v>
      </c>
      <c r="B1521" s="379" t="s">
        <v>28</v>
      </c>
      <c r="C1521" s="1823" t="s">
        <v>3485</v>
      </c>
      <c r="D1521" s="379" t="s">
        <v>3422</v>
      </c>
      <c r="E1521" s="1168">
        <v>0</v>
      </c>
      <c r="F1521" s="1168">
        <v>4911000</v>
      </c>
      <c r="G1521" s="1168">
        <v>4909831.2</v>
      </c>
      <c r="H1521" s="1168">
        <v>1168.8</v>
      </c>
    </row>
    <row r="1522" spans="1:8" ht="12.75">
      <c r="A1522" s="1822" t="s">
        <v>101</v>
      </c>
      <c r="B1522" s="379" t="s">
        <v>102</v>
      </c>
      <c r="C1522" s="1823" t="s">
        <v>3466</v>
      </c>
      <c r="D1522" s="379" t="s">
        <v>3422</v>
      </c>
      <c r="E1522" s="1168">
        <v>0</v>
      </c>
      <c r="F1522" s="1168">
        <v>13364000</v>
      </c>
      <c r="G1522" s="1168">
        <v>13363082</v>
      </c>
      <c r="H1522" s="1168">
        <v>918</v>
      </c>
    </row>
    <row r="1523" spans="1:8" ht="12.75">
      <c r="A1523" s="1822" t="s">
        <v>103</v>
      </c>
      <c r="B1523" s="379" t="s">
        <v>104</v>
      </c>
      <c r="C1523" s="1823" t="s">
        <v>3475</v>
      </c>
      <c r="D1523" s="379" t="s">
        <v>3422</v>
      </c>
      <c r="E1523" s="1168">
        <v>0</v>
      </c>
      <c r="F1523" s="1168">
        <v>8380000</v>
      </c>
      <c r="G1523" s="1168">
        <v>8379216</v>
      </c>
      <c r="H1523" s="1168">
        <v>784</v>
      </c>
    </row>
    <row r="1524" spans="1:8" ht="12.75">
      <c r="A1524" s="1822" t="s">
        <v>105</v>
      </c>
      <c r="B1524" s="379" t="s">
        <v>106</v>
      </c>
      <c r="C1524" s="1823" t="s">
        <v>3483</v>
      </c>
      <c r="D1524" s="379" t="s">
        <v>3422</v>
      </c>
      <c r="E1524" s="1168">
        <v>0</v>
      </c>
      <c r="F1524" s="1168">
        <v>8384000</v>
      </c>
      <c r="G1524" s="1168">
        <v>8383844</v>
      </c>
      <c r="H1524" s="1168">
        <v>156</v>
      </c>
    </row>
    <row r="1525" spans="1:8" ht="12.75">
      <c r="A1525" s="1822" t="s">
        <v>107</v>
      </c>
      <c r="B1525" s="379" t="s">
        <v>108</v>
      </c>
      <c r="C1525" s="1823" t="s">
        <v>2645</v>
      </c>
      <c r="D1525" s="379" t="s">
        <v>3422</v>
      </c>
      <c r="E1525" s="1168">
        <v>0</v>
      </c>
      <c r="F1525" s="1168">
        <v>2072000</v>
      </c>
      <c r="G1525" s="1168">
        <v>2071391.4</v>
      </c>
      <c r="H1525" s="1168">
        <v>608.6</v>
      </c>
    </row>
    <row r="1526" spans="1:8" ht="12.75">
      <c r="A1526" s="1822" t="s">
        <v>109</v>
      </c>
      <c r="B1526" s="379" t="s">
        <v>110</v>
      </c>
      <c r="C1526" s="1823" t="s">
        <v>3462</v>
      </c>
      <c r="D1526" s="379" t="s">
        <v>3422</v>
      </c>
      <c r="E1526" s="1168">
        <v>0</v>
      </c>
      <c r="F1526" s="1168">
        <v>500000</v>
      </c>
      <c r="G1526" s="1168">
        <v>500000</v>
      </c>
      <c r="H1526" s="1168">
        <v>0</v>
      </c>
    </row>
    <row r="1527" spans="1:8" ht="12.75">
      <c r="A1527" s="1822" t="s">
        <v>111</v>
      </c>
      <c r="B1527" s="379" t="s">
        <v>112</v>
      </c>
      <c r="C1527" s="1823" t="s">
        <v>3477</v>
      </c>
      <c r="D1527" s="379" t="s">
        <v>3422</v>
      </c>
      <c r="E1527" s="1168">
        <v>0</v>
      </c>
      <c r="F1527" s="1168">
        <v>7733000</v>
      </c>
      <c r="G1527" s="1168">
        <v>7732522.5</v>
      </c>
      <c r="H1527" s="1168">
        <v>477.5</v>
      </c>
    </row>
    <row r="1528" spans="1:8" ht="12.75">
      <c r="A1528" s="1822" t="s">
        <v>113</v>
      </c>
      <c r="B1528" s="379" t="s">
        <v>114</v>
      </c>
      <c r="C1528" s="1823" t="s">
        <v>3475</v>
      </c>
      <c r="D1528" s="379" t="s">
        <v>3422</v>
      </c>
      <c r="E1528" s="1168">
        <v>0</v>
      </c>
      <c r="F1528" s="1168">
        <v>11700000</v>
      </c>
      <c r="G1528" s="1168">
        <v>11699604</v>
      </c>
      <c r="H1528" s="1168">
        <v>396</v>
      </c>
    </row>
    <row r="1529" spans="1:8" ht="12.75">
      <c r="A1529" s="1822" t="s">
        <v>115</v>
      </c>
      <c r="B1529" s="379" t="s">
        <v>116</v>
      </c>
      <c r="C1529" s="1823" t="s">
        <v>3475</v>
      </c>
      <c r="D1529" s="379" t="s">
        <v>3422</v>
      </c>
      <c r="E1529" s="1168">
        <v>0</v>
      </c>
      <c r="F1529" s="1168">
        <v>218000</v>
      </c>
      <c r="G1529" s="1168">
        <v>217056</v>
      </c>
      <c r="H1529" s="1168">
        <v>944</v>
      </c>
    </row>
    <row r="1530" spans="1:8" ht="12.75">
      <c r="A1530" s="1822" t="s">
        <v>117</v>
      </c>
      <c r="B1530" s="379" t="s">
        <v>118</v>
      </c>
      <c r="C1530" s="1823" t="s">
        <v>3468</v>
      </c>
      <c r="D1530" s="379" t="s">
        <v>3422</v>
      </c>
      <c r="E1530" s="1168">
        <v>0</v>
      </c>
      <c r="F1530" s="1168">
        <v>1445000</v>
      </c>
      <c r="G1530" s="1168">
        <v>1444412</v>
      </c>
      <c r="H1530" s="1168">
        <v>588</v>
      </c>
    </row>
    <row r="1531" spans="1:8" ht="12.75">
      <c r="A1531" s="1822" t="s">
        <v>119</v>
      </c>
      <c r="B1531" s="379" t="s">
        <v>120</v>
      </c>
      <c r="C1531" s="1823" t="s">
        <v>3468</v>
      </c>
      <c r="D1531" s="379" t="s">
        <v>3422</v>
      </c>
      <c r="E1531" s="1168">
        <v>0</v>
      </c>
      <c r="F1531" s="1168">
        <v>913000</v>
      </c>
      <c r="G1531" s="1168">
        <v>912576</v>
      </c>
      <c r="H1531" s="1168">
        <v>424</v>
      </c>
    </row>
    <row r="1532" spans="1:8" ht="12.75">
      <c r="A1532" s="1822" t="s">
        <v>121</v>
      </c>
      <c r="B1532" s="379" t="s">
        <v>122</v>
      </c>
      <c r="C1532" s="1823" t="s">
        <v>3468</v>
      </c>
      <c r="D1532" s="379" t="s">
        <v>3422</v>
      </c>
      <c r="E1532" s="1168">
        <v>0</v>
      </c>
      <c r="F1532" s="1168">
        <v>7712000</v>
      </c>
      <c r="G1532" s="1168">
        <v>7711729.4</v>
      </c>
      <c r="H1532" s="1168">
        <v>270.6</v>
      </c>
    </row>
    <row r="1533" spans="1:8" ht="12.75">
      <c r="A1533" s="1822" t="s">
        <v>123</v>
      </c>
      <c r="B1533" s="379" t="s">
        <v>124</v>
      </c>
      <c r="C1533" s="1823" t="s">
        <v>3479</v>
      </c>
      <c r="D1533" s="379" t="s">
        <v>3422</v>
      </c>
      <c r="E1533" s="1168">
        <v>0</v>
      </c>
      <c r="F1533" s="1168">
        <v>191000</v>
      </c>
      <c r="G1533" s="1168">
        <v>190204.8</v>
      </c>
      <c r="H1533" s="1168">
        <v>0</v>
      </c>
    </row>
    <row r="1534" spans="1:8" ht="12.75">
      <c r="A1534" s="1822" t="s">
        <v>125</v>
      </c>
      <c r="B1534" s="379" t="s">
        <v>126</v>
      </c>
      <c r="C1534" s="1823" t="s">
        <v>3473</v>
      </c>
      <c r="D1534" s="379" t="s">
        <v>3422</v>
      </c>
      <c r="E1534" s="1168">
        <v>0</v>
      </c>
      <c r="F1534" s="1168">
        <v>68000</v>
      </c>
      <c r="G1534" s="1168">
        <v>67354</v>
      </c>
      <c r="H1534" s="1168">
        <v>646</v>
      </c>
    </row>
    <row r="1535" spans="1:8" ht="12.75">
      <c r="A1535" s="1822" t="s">
        <v>127</v>
      </c>
      <c r="B1535" s="379" t="s">
        <v>128</v>
      </c>
      <c r="C1535" s="1823" t="s">
        <v>3471</v>
      </c>
      <c r="D1535" s="379" t="s">
        <v>3422</v>
      </c>
      <c r="E1535" s="1168">
        <v>0</v>
      </c>
      <c r="F1535" s="1168">
        <v>82000</v>
      </c>
      <c r="G1535" s="1168">
        <v>81872</v>
      </c>
      <c r="H1535" s="1168">
        <v>128</v>
      </c>
    </row>
    <row r="1536" spans="1:8" ht="12.75">
      <c r="A1536" s="1822" t="s">
        <v>129</v>
      </c>
      <c r="B1536" s="379" t="s">
        <v>130</v>
      </c>
      <c r="C1536" s="1823" t="s">
        <v>3481</v>
      </c>
      <c r="D1536" s="379" t="s">
        <v>3422</v>
      </c>
      <c r="E1536" s="1168">
        <v>0</v>
      </c>
      <c r="F1536" s="1168">
        <v>0</v>
      </c>
      <c r="G1536" s="1168">
        <v>2000000</v>
      </c>
      <c r="H1536" s="1168">
        <v>0</v>
      </c>
    </row>
    <row r="1537" spans="1:8" ht="12.75">
      <c r="A1537" s="1822" t="s">
        <v>129</v>
      </c>
      <c r="B1537" s="379" t="s">
        <v>130</v>
      </c>
      <c r="C1537" s="1823" t="s">
        <v>3481</v>
      </c>
      <c r="D1537" s="379" t="s">
        <v>3422</v>
      </c>
      <c r="E1537" s="1168">
        <v>0</v>
      </c>
      <c r="F1537" s="1168">
        <v>1800000</v>
      </c>
      <c r="G1537" s="1168">
        <v>1800000</v>
      </c>
      <c r="H1537" s="1168">
        <v>0</v>
      </c>
    </row>
    <row r="1538" spans="1:8" ht="12.75">
      <c r="A1538" s="1822" t="s">
        <v>131</v>
      </c>
      <c r="B1538" s="379" t="s">
        <v>1481</v>
      </c>
      <c r="C1538" s="1823" t="s">
        <v>3487</v>
      </c>
      <c r="D1538" s="379" t="s">
        <v>3422</v>
      </c>
      <c r="E1538" s="1168">
        <v>0</v>
      </c>
      <c r="F1538" s="1168">
        <v>295000</v>
      </c>
      <c r="G1538" s="1168">
        <v>295000</v>
      </c>
      <c r="H1538" s="1168">
        <v>0</v>
      </c>
    </row>
    <row r="1539" spans="1:8" ht="12.75">
      <c r="A1539" s="1822" t="s">
        <v>132</v>
      </c>
      <c r="B1539" s="379" t="s">
        <v>1481</v>
      </c>
      <c r="C1539" s="1823" t="s">
        <v>3487</v>
      </c>
      <c r="D1539" s="379" t="s">
        <v>3422</v>
      </c>
      <c r="E1539" s="1168">
        <v>0</v>
      </c>
      <c r="F1539" s="1168">
        <v>0</v>
      </c>
      <c r="G1539" s="1168">
        <v>200000</v>
      </c>
      <c r="H1539" s="1168">
        <v>0</v>
      </c>
    </row>
    <row r="1540" spans="1:8" ht="12.75">
      <c r="A1540" s="1822" t="s">
        <v>132</v>
      </c>
      <c r="B1540" s="379" t="s">
        <v>1481</v>
      </c>
      <c r="C1540" s="1823" t="s">
        <v>3487</v>
      </c>
      <c r="D1540" s="379" t="s">
        <v>3422</v>
      </c>
      <c r="E1540" s="1168">
        <v>0</v>
      </c>
      <c r="F1540" s="1168">
        <v>150000</v>
      </c>
      <c r="G1540" s="1168">
        <v>150000</v>
      </c>
      <c r="H1540" s="1168">
        <v>0</v>
      </c>
    </row>
    <row r="1541" spans="1:8" ht="12.75">
      <c r="A1541" s="1822" t="s">
        <v>133</v>
      </c>
      <c r="B1541" s="379" t="s">
        <v>134</v>
      </c>
      <c r="C1541" s="1823" t="s">
        <v>3487</v>
      </c>
      <c r="D1541" s="379" t="s">
        <v>3422</v>
      </c>
      <c r="E1541" s="1168">
        <v>0</v>
      </c>
      <c r="F1541" s="1168">
        <v>0</v>
      </c>
      <c r="G1541" s="1168">
        <v>920000</v>
      </c>
      <c r="H1541" s="1168">
        <v>0</v>
      </c>
    </row>
    <row r="1542" spans="1:8" ht="12.75">
      <c r="A1542" s="1822" t="s">
        <v>133</v>
      </c>
      <c r="B1542" s="379" t="s">
        <v>134</v>
      </c>
      <c r="C1542" s="1823" t="s">
        <v>3487</v>
      </c>
      <c r="D1542" s="379" t="s">
        <v>3422</v>
      </c>
      <c r="E1542" s="1168">
        <v>0</v>
      </c>
      <c r="F1542" s="1168">
        <v>96000</v>
      </c>
      <c r="G1542" s="1168">
        <v>95708</v>
      </c>
      <c r="H1542" s="1168">
        <v>292</v>
      </c>
    </row>
    <row r="1543" spans="1:8" ht="12.75">
      <c r="A1543" s="1822" t="s">
        <v>135</v>
      </c>
      <c r="B1543" s="379" t="s">
        <v>136</v>
      </c>
      <c r="C1543" s="1823" t="s">
        <v>3485</v>
      </c>
      <c r="D1543" s="379" t="s">
        <v>3422</v>
      </c>
      <c r="E1543" s="1168">
        <v>0</v>
      </c>
      <c r="F1543" s="1168">
        <v>1034000</v>
      </c>
      <c r="G1543" s="1168">
        <v>1033708.5</v>
      </c>
      <c r="H1543" s="1168">
        <v>291.5</v>
      </c>
    </row>
    <row r="1544" spans="1:8" ht="12.75">
      <c r="A1544" s="1822" t="s">
        <v>137</v>
      </c>
      <c r="B1544" s="379" t="s">
        <v>138</v>
      </c>
      <c r="C1544" s="1823" t="s">
        <v>3485</v>
      </c>
      <c r="D1544" s="379" t="s">
        <v>3422</v>
      </c>
      <c r="E1544" s="1168">
        <v>0</v>
      </c>
      <c r="F1544" s="1168">
        <v>500000</v>
      </c>
      <c r="G1544" s="1168">
        <v>499990</v>
      </c>
      <c r="H1544" s="1168">
        <v>10</v>
      </c>
    </row>
    <row r="1545" spans="1:8" ht="12.75">
      <c r="A1545" s="1822" t="s">
        <v>139</v>
      </c>
      <c r="B1545" s="379" t="s">
        <v>140</v>
      </c>
      <c r="C1545" s="1823" t="s">
        <v>3481</v>
      </c>
      <c r="D1545" s="379" t="s">
        <v>3422</v>
      </c>
      <c r="E1545" s="1168">
        <v>0</v>
      </c>
      <c r="F1545" s="1168">
        <v>0</v>
      </c>
      <c r="G1545" s="1168">
        <v>1799900</v>
      </c>
      <c r="H1545" s="1168">
        <v>0</v>
      </c>
    </row>
    <row r="1546" spans="1:8" ht="12.75">
      <c r="A1546" s="1822" t="s">
        <v>141</v>
      </c>
      <c r="B1546" s="379" t="s">
        <v>142</v>
      </c>
      <c r="C1546" s="1823" t="s">
        <v>3469</v>
      </c>
      <c r="D1546" s="379" t="s">
        <v>3422</v>
      </c>
      <c r="E1546" s="1168">
        <v>0</v>
      </c>
      <c r="F1546" s="1168">
        <v>0</v>
      </c>
      <c r="G1546" s="1168">
        <v>499900</v>
      </c>
      <c r="H1546" s="1168">
        <v>0</v>
      </c>
    </row>
    <row r="1547" spans="1:8" ht="12.75">
      <c r="A1547" s="1822" t="s">
        <v>143</v>
      </c>
      <c r="B1547" s="379" t="s">
        <v>144</v>
      </c>
      <c r="C1547" s="1823" t="s">
        <v>3483</v>
      </c>
      <c r="D1547" s="379" t="s">
        <v>3422</v>
      </c>
      <c r="E1547" s="1168">
        <v>0</v>
      </c>
      <c r="F1547" s="1168">
        <v>0</v>
      </c>
      <c r="G1547" s="1168">
        <v>7000000</v>
      </c>
      <c r="H1547" s="1168">
        <v>0</v>
      </c>
    </row>
    <row r="1548" spans="1:8" ht="12.75">
      <c r="A1548" s="1822" t="s">
        <v>145</v>
      </c>
      <c r="B1548" s="379" t="s">
        <v>146</v>
      </c>
      <c r="C1548" s="1823" t="s">
        <v>3485</v>
      </c>
      <c r="D1548" s="379" t="s">
        <v>3422</v>
      </c>
      <c r="E1548" s="1168">
        <v>0</v>
      </c>
      <c r="F1548" s="1168">
        <v>907000</v>
      </c>
      <c r="G1548" s="1168">
        <v>906997.5</v>
      </c>
      <c r="H1548" s="1168">
        <v>2.5</v>
      </c>
    </row>
    <row r="1549" spans="1:8" ht="12.75">
      <c r="A1549" s="1822" t="s">
        <v>147</v>
      </c>
      <c r="B1549" s="379" t="s">
        <v>148</v>
      </c>
      <c r="C1549" s="1823" t="s">
        <v>3469</v>
      </c>
      <c r="D1549" s="379" t="s">
        <v>3422</v>
      </c>
      <c r="E1549" s="1168">
        <v>0</v>
      </c>
      <c r="F1549" s="1168">
        <v>0</v>
      </c>
      <c r="G1549" s="1168">
        <v>196284.6</v>
      </c>
      <c r="H1549" s="1168">
        <v>0</v>
      </c>
    </row>
    <row r="1550" spans="1:8" ht="12.75">
      <c r="A1550" s="1822" t="s">
        <v>149</v>
      </c>
      <c r="B1550" s="379" t="s">
        <v>150</v>
      </c>
      <c r="C1550" s="1823" t="s">
        <v>3471</v>
      </c>
      <c r="D1550" s="379" t="s">
        <v>3422</v>
      </c>
      <c r="E1550" s="1168">
        <v>0</v>
      </c>
      <c r="F1550" s="1168">
        <v>128000</v>
      </c>
      <c r="G1550" s="1168">
        <v>127361</v>
      </c>
      <c r="H1550" s="1168">
        <v>639</v>
      </c>
    </row>
    <row r="1551" spans="1:8" ht="12.75">
      <c r="A1551" s="1822" t="s">
        <v>151</v>
      </c>
      <c r="B1551" s="379" t="s">
        <v>152</v>
      </c>
      <c r="C1551" s="1823" t="s">
        <v>3477</v>
      </c>
      <c r="D1551" s="379" t="s">
        <v>3422</v>
      </c>
      <c r="E1551" s="1168">
        <v>0</v>
      </c>
      <c r="F1551" s="1168">
        <v>470000</v>
      </c>
      <c r="G1551" s="1168">
        <v>469900</v>
      </c>
      <c r="H1551" s="1168">
        <v>100</v>
      </c>
    </row>
    <row r="1552" spans="1:8" ht="12.75">
      <c r="A1552" s="1822" t="s">
        <v>153</v>
      </c>
      <c r="B1552" s="379" t="s">
        <v>154</v>
      </c>
      <c r="C1552" s="1823" t="s">
        <v>3469</v>
      </c>
      <c r="D1552" s="379" t="s">
        <v>3422</v>
      </c>
      <c r="E1552" s="1168">
        <v>0</v>
      </c>
      <c r="F1552" s="1168">
        <v>0</v>
      </c>
      <c r="G1552" s="1168">
        <v>500000</v>
      </c>
      <c r="H1552" s="1168">
        <v>0</v>
      </c>
    </row>
    <row r="1553" spans="1:8" ht="12.75">
      <c r="A1553" s="1822" t="s">
        <v>155</v>
      </c>
      <c r="B1553" s="379" t="s">
        <v>156</v>
      </c>
      <c r="C1553" s="1823" t="s">
        <v>3475</v>
      </c>
      <c r="D1553" s="379" t="s">
        <v>3422</v>
      </c>
      <c r="E1553" s="1168">
        <v>0</v>
      </c>
      <c r="F1553" s="1168">
        <v>750000</v>
      </c>
      <c r="G1553" s="1168">
        <v>749700</v>
      </c>
      <c r="H1553" s="1168">
        <v>300</v>
      </c>
    </row>
    <row r="1554" spans="1:8" ht="12.75">
      <c r="A1554" s="1822" t="s">
        <v>157</v>
      </c>
      <c r="B1554" s="379" t="s">
        <v>158</v>
      </c>
      <c r="C1554" s="1823" t="s">
        <v>3483</v>
      </c>
      <c r="D1554" s="379" t="s">
        <v>3422</v>
      </c>
      <c r="E1554" s="1168">
        <v>0</v>
      </c>
      <c r="F1554" s="1168">
        <v>0</v>
      </c>
      <c r="G1554" s="1168">
        <v>580000</v>
      </c>
      <c r="H1554" s="1168">
        <v>0</v>
      </c>
    </row>
    <row r="1555" spans="1:8" ht="12.75">
      <c r="A1555" s="1822" t="s">
        <v>159</v>
      </c>
      <c r="B1555" s="379" t="s">
        <v>160</v>
      </c>
      <c r="C1555" s="1823" t="s">
        <v>3468</v>
      </c>
      <c r="D1555" s="379" t="s">
        <v>3422</v>
      </c>
      <c r="E1555" s="1168">
        <v>0</v>
      </c>
      <c r="F1555" s="1168">
        <v>0</v>
      </c>
      <c r="G1555" s="1168">
        <v>2000000</v>
      </c>
      <c r="H1555" s="1168">
        <v>0</v>
      </c>
    </row>
    <row r="1556" spans="1:8" ht="12.75">
      <c r="A1556" s="1822" t="s">
        <v>161</v>
      </c>
      <c r="B1556" s="379" t="s">
        <v>162</v>
      </c>
      <c r="C1556" s="1823" t="s">
        <v>3481</v>
      </c>
      <c r="D1556" s="379" t="s">
        <v>3422</v>
      </c>
      <c r="E1556" s="1168">
        <v>0</v>
      </c>
      <c r="F1556" s="1168">
        <v>0</v>
      </c>
      <c r="G1556" s="1168">
        <v>399999</v>
      </c>
      <c r="H1556" s="1168">
        <v>0</v>
      </c>
    </row>
    <row r="1557" spans="1:8" ht="12.75">
      <c r="A1557" s="1822" t="s">
        <v>163</v>
      </c>
      <c r="B1557" s="379" t="s">
        <v>1481</v>
      </c>
      <c r="C1557" s="1823" t="s">
        <v>3475</v>
      </c>
      <c r="D1557" s="379" t="s">
        <v>3422</v>
      </c>
      <c r="E1557" s="1168">
        <v>0</v>
      </c>
      <c r="F1557" s="1168">
        <v>820000</v>
      </c>
      <c r="G1557" s="1168">
        <v>0</v>
      </c>
      <c r="H1557" s="1168">
        <v>820000</v>
      </c>
    </row>
    <row r="1558" spans="1:8" ht="12.75">
      <c r="A1558" s="1822" t="s">
        <v>164</v>
      </c>
      <c r="B1558" s="379" t="s">
        <v>165</v>
      </c>
      <c r="C1558" s="1823" t="s">
        <v>3464</v>
      </c>
      <c r="D1558" s="379" t="s">
        <v>3422</v>
      </c>
      <c r="E1558" s="1168">
        <v>0</v>
      </c>
      <c r="F1558" s="1168">
        <v>2164000</v>
      </c>
      <c r="G1558" s="1168">
        <v>2163239.4</v>
      </c>
      <c r="H1558" s="1168">
        <v>760.6</v>
      </c>
    </row>
    <row r="1559" spans="1:8" ht="12.75">
      <c r="A1559" s="1822" t="s">
        <v>166</v>
      </c>
      <c r="B1559" s="379" t="s">
        <v>167</v>
      </c>
      <c r="C1559" s="1823" t="s">
        <v>3462</v>
      </c>
      <c r="D1559" s="379" t="s">
        <v>3422</v>
      </c>
      <c r="E1559" s="1168">
        <v>0</v>
      </c>
      <c r="F1559" s="1168">
        <v>350000</v>
      </c>
      <c r="G1559" s="1168">
        <v>349972</v>
      </c>
      <c r="H1559" s="1168">
        <v>28</v>
      </c>
    </row>
    <row r="1560" spans="1:8" ht="12.75">
      <c r="A1560" s="1822" t="s">
        <v>168</v>
      </c>
      <c r="B1560" s="379" t="s">
        <v>169</v>
      </c>
      <c r="C1560" s="1823" t="s">
        <v>3469</v>
      </c>
      <c r="D1560" s="379" t="s">
        <v>3422</v>
      </c>
      <c r="E1560" s="1168">
        <v>0</v>
      </c>
      <c r="F1560" s="1168">
        <v>0</v>
      </c>
      <c r="G1560" s="1168">
        <v>196847.5</v>
      </c>
      <c r="H1560" s="1168">
        <v>0</v>
      </c>
    </row>
    <row r="1561" spans="1:8" ht="12.75">
      <c r="A1561" s="1822" t="s">
        <v>170</v>
      </c>
      <c r="B1561" s="379" t="s">
        <v>171</v>
      </c>
      <c r="C1561" s="1823" t="s">
        <v>3468</v>
      </c>
      <c r="D1561" s="379" t="s">
        <v>3422</v>
      </c>
      <c r="E1561" s="1168">
        <v>0</v>
      </c>
      <c r="F1561" s="1168">
        <v>2229000</v>
      </c>
      <c r="G1561" s="1168">
        <v>2229000</v>
      </c>
      <c r="H1561" s="1168">
        <v>0</v>
      </c>
    </row>
    <row r="1562" spans="1:8" ht="12.75">
      <c r="A1562" s="1822" t="s">
        <v>172</v>
      </c>
      <c r="B1562" s="379" t="s">
        <v>173</v>
      </c>
      <c r="C1562" s="1823" t="s">
        <v>3469</v>
      </c>
      <c r="D1562" s="379" t="s">
        <v>3422</v>
      </c>
      <c r="E1562" s="1168">
        <v>0</v>
      </c>
      <c r="F1562" s="1168">
        <v>0</v>
      </c>
      <c r="G1562" s="1168">
        <v>1971081</v>
      </c>
      <c r="H1562" s="1168">
        <v>0</v>
      </c>
    </row>
    <row r="1563" spans="1:8" ht="12.75">
      <c r="A1563" s="1822" t="s">
        <v>174</v>
      </c>
      <c r="B1563" s="379" t="s">
        <v>175</v>
      </c>
      <c r="C1563" s="1823" t="s">
        <v>3469</v>
      </c>
      <c r="D1563" s="379" t="s">
        <v>3422</v>
      </c>
      <c r="E1563" s="1168">
        <v>0</v>
      </c>
      <c r="F1563" s="1168">
        <v>0</v>
      </c>
      <c r="G1563" s="1168">
        <v>53966.5</v>
      </c>
      <c r="H1563" s="1168">
        <v>0</v>
      </c>
    </row>
    <row r="1564" spans="1:8" ht="12.75">
      <c r="A1564" s="1822" t="s">
        <v>176</v>
      </c>
      <c r="B1564" s="379" t="s">
        <v>177</v>
      </c>
      <c r="C1564" s="1823" t="s">
        <v>3464</v>
      </c>
      <c r="D1564" s="379" t="s">
        <v>3422</v>
      </c>
      <c r="E1564" s="1168">
        <v>0</v>
      </c>
      <c r="F1564" s="1168">
        <v>500000</v>
      </c>
      <c r="G1564" s="1168">
        <v>499660</v>
      </c>
      <c r="H1564" s="1168">
        <v>340</v>
      </c>
    </row>
    <row r="1565" spans="1:8" ht="12.75">
      <c r="A1565" s="1822" t="s">
        <v>178</v>
      </c>
      <c r="B1565" s="379" t="s">
        <v>179</v>
      </c>
      <c r="C1565" s="1823" t="s">
        <v>3475</v>
      </c>
      <c r="D1565" s="379" t="s">
        <v>3422</v>
      </c>
      <c r="E1565" s="1168">
        <v>0</v>
      </c>
      <c r="F1565" s="1168">
        <v>157000</v>
      </c>
      <c r="G1565" s="1168">
        <v>156658</v>
      </c>
      <c r="H1565" s="1168">
        <v>342</v>
      </c>
    </row>
    <row r="1566" spans="1:8" ht="12.75">
      <c r="A1566" s="1822" t="s">
        <v>180</v>
      </c>
      <c r="B1566" s="379" t="s">
        <v>181</v>
      </c>
      <c r="C1566" s="1823" t="s">
        <v>3473</v>
      </c>
      <c r="D1566" s="379" t="s">
        <v>3422</v>
      </c>
      <c r="E1566" s="1168">
        <v>0</v>
      </c>
      <c r="F1566" s="1168">
        <v>202000</v>
      </c>
      <c r="G1566" s="1168">
        <v>201844.3</v>
      </c>
      <c r="H1566" s="1168">
        <v>155.7</v>
      </c>
    </row>
    <row r="1567" spans="1:8" ht="12.75">
      <c r="A1567" s="1822" t="s">
        <v>182</v>
      </c>
      <c r="B1567" s="379" t="s">
        <v>1857</v>
      </c>
      <c r="C1567" s="1823" t="s">
        <v>3479</v>
      </c>
      <c r="D1567" s="379" t="s">
        <v>3422</v>
      </c>
      <c r="E1567" s="1168">
        <v>0</v>
      </c>
      <c r="F1567" s="1168">
        <v>4000000</v>
      </c>
      <c r="G1567" s="1168">
        <v>0</v>
      </c>
      <c r="H1567" s="1168">
        <v>4000000</v>
      </c>
    </row>
    <row r="1568" spans="1:8" ht="12.75">
      <c r="A1568" s="1822" t="s">
        <v>183</v>
      </c>
      <c r="B1568" s="379" t="s">
        <v>184</v>
      </c>
      <c r="C1568" s="1823" t="s">
        <v>3483</v>
      </c>
      <c r="D1568" s="379" t="s">
        <v>3422</v>
      </c>
      <c r="E1568" s="1168">
        <v>0</v>
      </c>
      <c r="F1568" s="1168">
        <v>2500000</v>
      </c>
      <c r="G1568" s="1168">
        <v>0</v>
      </c>
      <c r="H1568" s="1168">
        <v>2500000</v>
      </c>
    </row>
    <row r="1569" spans="1:8" ht="12.75">
      <c r="A1569" s="1822" t="s">
        <v>185</v>
      </c>
      <c r="B1569" s="379" t="s">
        <v>186</v>
      </c>
      <c r="C1569" s="1823" t="s">
        <v>3471</v>
      </c>
      <c r="D1569" s="379" t="s">
        <v>3422</v>
      </c>
      <c r="E1569" s="1168">
        <v>0</v>
      </c>
      <c r="F1569" s="1168">
        <v>2500000</v>
      </c>
      <c r="G1569" s="1168">
        <v>0</v>
      </c>
      <c r="H1569" s="1168">
        <v>2500000</v>
      </c>
    </row>
    <row r="1570" spans="1:8" ht="12.75">
      <c r="A1570" s="1822" t="s">
        <v>187</v>
      </c>
      <c r="B1570" s="379" t="s">
        <v>188</v>
      </c>
      <c r="C1570" s="1823" t="s">
        <v>3479</v>
      </c>
      <c r="D1570" s="379" t="s">
        <v>3422</v>
      </c>
      <c r="E1570" s="1168">
        <v>0</v>
      </c>
      <c r="F1570" s="1168">
        <v>8553000</v>
      </c>
      <c r="G1570" s="1168">
        <v>0</v>
      </c>
      <c r="H1570" s="1168">
        <v>8553000</v>
      </c>
    </row>
    <row r="1571" spans="1:8" ht="12.75">
      <c r="A1571" s="1822" t="s">
        <v>189</v>
      </c>
      <c r="B1571" s="379" t="s">
        <v>190</v>
      </c>
      <c r="C1571" s="1823" t="s">
        <v>3464</v>
      </c>
      <c r="D1571" s="379" t="s">
        <v>3422</v>
      </c>
      <c r="E1571" s="1168">
        <v>0</v>
      </c>
      <c r="F1571" s="1168">
        <v>2380000</v>
      </c>
      <c r="G1571" s="1168">
        <v>2380000</v>
      </c>
      <c r="H1571" s="1168">
        <v>0</v>
      </c>
    </row>
    <row r="1572" spans="1:8" ht="12.75">
      <c r="A1572" s="1822" t="s">
        <v>191</v>
      </c>
      <c r="B1572" s="379" t="s">
        <v>192</v>
      </c>
      <c r="C1572" s="1823" t="s">
        <v>3469</v>
      </c>
      <c r="D1572" s="379" t="s">
        <v>3422</v>
      </c>
      <c r="E1572" s="1168">
        <v>0</v>
      </c>
      <c r="F1572" s="1168">
        <v>0</v>
      </c>
      <c r="G1572" s="1168">
        <v>170051</v>
      </c>
      <c r="H1572" s="1168">
        <v>0</v>
      </c>
    </row>
    <row r="1573" spans="1:8" ht="12.75">
      <c r="A1573" s="1822" t="s">
        <v>193</v>
      </c>
      <c r="B1573" s="379" t="s">
        <v>194</v>
      </c>
      <c r="C1573" s="1823" t="s">
        <v>3462</v>
      </c>
      <c r="D1573" s="379" t="s">
        <v>3422</v>
      </c>
      <c r="E1573" s="1168">
        <v>0</v>
      </c>
      <c r="F1573" s="1168">
        <v>141000</v>
      </c>
      <c r="G1573" s="1168">
        <v>140401</v>
      </c>
      <c r="H1573" s="1168">
        <v>599</v>
      </c>
    </row>
    <row r="1574" spans="1:8" ht="12.75">
      <c r="A1574" s="1822" t="s">
        <v>195</v>
      </c>
      <c r="B1574" s="379" t="s">
        <v>196</v>
      </c>
      <c r="C1574" s="1823" t="s">
        <v>3468</v>
      </c>
      <c r="D1574" s="379" t="s">
        <v>3422</v>
      </c>
      <c r="E1574" s="1168">
        <v>0</v>
      </c>
      <c r="F1574" s="1168">
        <v>202000</v>
      </c>
      <c r="G1574" s="1168">
        <v>201604</v>
      </c>
      <c r="H1574" s="1168">
        <v>396</v>
      </c>
    </row>
    <row r="1575" spans="1:8" ht="12.75">
      <c r="A1575" s="1822" t="s">
        <v>197</v>
      </c>
      <c r="B1575" s="379" t="s">
        <v>198</v>
      </c>
      <c r="C1575" s="1823" t="s">
        <v>3469</v>
      </c>
      <c r="D1575" s="379" t="s">
        <v>3422</v>
      </c>
      <c r="E1575" s="1168">
        <v>0</v>
      </c>
      <c r="F1575" s="1168">
        <v>0</v>
      </c>
      <c r="G1575" s="1168">
        <v>645094</v>
      </c>
      <c r="H1575" s="1168">
        <v>0</v>
      </c>
    </row>
    <row r="1576" spans="1:8" ht="12.75">
      <c r="A1576" s="1822" t="s">
        <v>199</v>
      </c>
      <c r="B1576" s="379" t="s">
        <v>200</v>
      </c>
      <c r="C1576" s="1823" t="s">
        <v>2645</v>
      </c>
      <c r="D1576" s="379" t="s">
        <v>3422</v>
      </c>
      <c r="E1576" s="1168">
        <v>0</v>
      </c>
      <c r="F1576" s="1168">
        <v>200000</v>
      </c>
      <c r="G1576" s="1168">
        <v>199991</v>
      </c>
      <c r="H1576" s="1168">
        <v>9</v>
      </c>
    </row>
    <row r="1577" spans="1:8" ht="12.75">
      <c r="A1577" s="1822" t="s">
        <v>201</v>
      </c>
      <c r="B1577" s="379" t="s">
        <v>202</v>
      </c>
      <c r="C1577" s="1823" t="s">
        <v>3479</v>
      </c>
      <c r="D1577" s="379" t="s">
        <v>3422</v>
      </c>
      <c r="E1577" s="1168">
        <v>0</v>
      </c>
      <c r="F1577" s="1168">
        <v>0</v>
      </c>
      <c r="G1577" s="1168">
        <v>150896</v>
      </c>
      <c r="H1577" s="1168">
        <v>0</v>
      </c>
    </row>
    <row r="1578" spans="1:8" ht="12.75">
      <c r="A1578" s="1822" t="s">
        <v>203</v>
      </c>
      <c r="B1578" s="379" t="s">
        <v>204</v>
      </c>
      <c r="C1578" s="1823" t="s">
        <v>3479</v>
      </c>
      <c r="D1578" s="379" t="s">
        <v>3422</v>
      </c>
      <c r="E1578" s="1168">
        <v>0</v>
      </c>
      <c r="F1578" s="1168">
        <v>0</v>
      </c>
      <c r="G1578" s="1168">
        <v>129499</v>
      </c>
      <c r="H1578" s="1168">
        <v>0</v>
      </c>
    </row>
    <row r="1579" spans="1:8" ht="12.75">
      <c r="A1579" s="1822" t="s">
        <v>205</v>
      </c>
      <c r="B1579" s="379" t="s">
        <v>206</v>
      </c>
      <c r="C1579" s="1823" t="s">
        <v>3466</v>
      </c>
      <c r="D1579" s="379" t="s">
        <v>3422</v>
      </c>
      <c r="E1579" s="1168">
        <v>0</v>
      </c>
      <c r="F1579" s="1168">
        <v>902000</v>
      </c>
      <c r="G1579" s="1168">
        <v>901674</v>
      </c>
      <c r="H1579" s="1168">
        <v>326</v>
      </c>
    </row>
    <row r="1580" spans="1:8" ht="12.75">
      <c r="A1580" s="1822" t="s">
        <v>207</v>
      </c>
      <c r="B1580" s="379" t="s">
        <v>208</v>
      </c>
      <c r="C1580" s="1823" t="s">
        <v>3485</v>
      </c>
      <c r="D1580" s="379" t="s">
        <v>3422</v>
      </c>
      <c r="E1580" s="1168">
        <v>0</v>
      </c>
      <c r="F1580" s="1168">
        <v>2369000</v>
      </c>
      <c r="G1580" s="1168">
        <v>2368660</v>
      </c>
      <c r="H1580" s="1168">
        <v>340</v>
      </c>
    </row>
    <row r="1581" spans="1:8" ht="12.75">
      <c r="A1581" s="1822" t="s">
        <v>209</v>
      </c>
      <c r="B1581" s="379" t="s">
        <v>210</v>
      </c>
      <c r="C1581" s="1823" t="s">
        <v>3469</v>
      </c>
      <c r="D1581" s="379" t="s">
        <v>3422</v>
      </c>
      <c r="E1581" s="1168">
        <v>0</v>
      </c>
      <c r="F1581" s="1168">
        <v>0</v>
      </c>
      <c r="G1581" s="1168">
        <v>140348.6</v>
      </c>
      <c r="H1581" s="1168">
        <v>0</v>
      </c>
    </row>
    <row r="1582" spans="1:8" ht="12.75">
      <c r="A1582" s="1822" t="s">
        <v>211</v>
      </c>
      <c r="B1582" s="379" t="s">
        <v>212</v>
      </c>
      <c r="C1582" s="1823" t="s">
        <v>3479</v>
      </c>
      <c r="D1582" s="379" t="s">
        <v>3422</v>
      </c>
      <c r="E1582" s="1168">
        <v>0</v>
      </c>
      <c r="F1582" s="1168">
        <v>0</v>
      </c>
      <c r="G1582" s="1168">
        <v>727490</v>
      </c>
      <c r="H1582" s="1168">
        <v>0</v>
      </c>
    </row>
    <row r="1583" spans="1:8" ht="12.75">
      <c r="A1583" s="1822" t="s">
        <v>213</v>
      </c>
      <c r="B1583" s="379" t="s">
        <v>214</v>
      </c>
      <c r="C1583" s="1823" t="s">
        <v>3469</v>
      </c>
      <c r="D1583" s="379" t="s">
        <v>3422</v>
      </c>
      <c r="E1583" s="1168">
        <v>0</v>
      </c>
      <c r="F1583" s="1168">
        <v>0</v>
      </c>
      <c r="G1583" s="1168">
        <v>176048.5</v>
      </c>
      <c r="H1583" s="1168">
        <v>0</v>
      </c>
    </row>
    <row r="1584" spans="1:8" ht="12.75">
      <c r="A1584" s="1822" t="s">
        <v>215</v>
      </c>
      <c r="B1584" s="379" t="s">
        <v>216</v>
      </c>
      <c r="C1584" s="1823" t="s">
        <v>3464</v>
      </c>
      <c r="D1584" s="379" t="s">
        <v>3422</v>
      </c>
      <c r="E1584" s="1168">
        <v>0</v>
      </c>
      <c r="F1584" s="1168">
        <v>2380000</v>
      </c>
      <c r="G1584" s="1168">
        <v>2380000</v>
      </c>
      <c r="H1584" s="1168">
        <v>0</v>
      </c>
    </row>
    <row r="1585" spans="1:8" ht="12.75">
      <c r="A1585" s="1822" t="s">
        <v>217</v>
      </c>
      <c r="B1585" s="379" t="s">
        <v>218</v>
      </c>
      <c r="C1585" s="1823" t="s">
        <v>3469</v>
      </c>
      <c r="D1585" s="379" t="s">
        <v>3422</v>
      </c>
      <c r="E1585" s="1168">
        <v>0</v>
      </c>
      <c r="F1585" s="1168">
        <v>95000</v>
      </c>
      <c r="G1585" s="1168">
        <v>95000</v>
      </c>
      <c r="H1585" s="1168">
        <v>0</v>
      </c>
    </row>
    <row r="1586" spans="1:8" ht="12.75">
      <c r="A1586" s="1822" t="s">
        <v>219</v>
      </c>
      <c r="B1586" s="379" t="s">
        <v>220</v>
      </c>
      <c r="C1586" s="1823" t="s">
        <v>2645</v>
      </c>
      <c r="D1586" s="379" t="s">
        <v>3422</v>
      </c>
      <c r="E1586" s="1168">
        <v>0</v>
      </c>
      <c r="F1586" s="1168">
        <v>0</v>
      </c>
      <c r="G1586" s="1168">
        <v>575587.1</v>
      </c>
      <c r="H1586" s="1168">
        <v>0</v>
      </c>
    </row>
    <row r="1587" spans="1:8" ht="12.75">
      <c r="A1587" s="1822" t="s">
        <v>221</v>
      </c>
      <c r="B1587" s="379" t="s">
        <v>222</v>
      </c>
      <c r="C1587" s="1823" t="s">
        <v>2645</v>
      </c>
      <c r="D1587" s="379" t="s">
        <v>3422</v>
      </c>
      <c r="E1587" s="1168">
        <v>0</v>
      </c>
      <c r="F1587" s="1168">
        <v>52000</v>
      </c>
      <c r="G1587" s="1168">
        <v>0</v>
      </c>
      <c r="H1587" s="1168">
        <v>52000</v>
      </c>
    </row>
    <row r="1588" spans="1:8" ht="12.75">
      <c r="A1588" s="1822" t="s">
        <v>223</v>
      </c>
      <c r="B1588" s="379" t="s">
        <v>224</v>
      </c>
      <c r="C1588" s="1823" t="s">
        <v>2645</v>
      </c>
      <c r="D1588" s="379" t="s">
        <v>3422</v>
      </c>
      <c r="E1588" s="1168">
        <v>0</v>
      </c>
      <c r="F1588" s="1168">
        <v>105000</v>
      </c>
      <c r="G1588" s="1168">
        <v>98752.5</v>
      </c>
      <c r="H1588" s="1168">
        <v>6247.5</v>
      </c>
    </row>
    <row r="1589" spans="1:8" ht="12.75">
      <c r="A1589" s="1822" t="s">
        <v>225</v>
      </c>
      <c r="B1589" s="379" t="s">
        <v>226</v>
      </c>
      <c r="C1589" s="1823" t="s">
        <v>3479</v>
      </c>
      <c r="D1589" s="379" t="s">
        <v>3422</v>
      </c>
      <c r="E1589" s="1168">
        <v>0</v>
      </c>
      <c r="F1589" s="1168">
        <v>0</v>
      </c>
      <c r="G1589" s="1168">
        <v>50000</v>
      </c>
      <c r="H1589" s="1168">
        <v>0</v>
      </c>
    </row>
    <row r="1590" spans="1:8" ht="12.75">
      <c r="A1590" s="1822" t="s">
        <v>227</v>
      </c>
      <c r="B1590" s="379" t="s">
        <v>1776</v>
      </c>
      <c r="C1590" s="1823" t="s">
        <v>3481</v>
      </c>
      <c r="D1590" s="379" t="s">
        <v>3422</v>
      </c>
      <c r="E1590" s="1168">
        <v>0</v>
      </c>
      <c r="F1590" s="1168">
        <v>0</v>
      </c>
      <c r="G1590" s="1168">
        <v>499990</v>
      </c>
      <c r="H1590" s="1168">
        <v>0</v>
      </c>
    </row>
    <row r="1591" spans="1:8" ht="12.75">
      <c r="A1591" s="1822" t="s">
        <v>228</v>
      </c>
      <c r="B1591" s="379" t="s">
        <v>3087</v>
      </c>
      <c r="C1591" s="1823" t="s">
        <v>229</v>
      </c>
      <c r="D1591" s="379" t="s">
        <v>3422</v>
      </c>
      <c r="E1591" s="1168">
        <v>190000000</v>
      </c>
      <c r="F1591" s="1168">
        <v>0</v>
      </c>
      <c r="G1591" s="1168">
        <v>0</v>
      </c>
      <c r="H1591" s="1168">
        <v>0</v>
      </c>
    </row>
    <row r="1592" spans="1:8" s="174" customFormat="1" ht="12.75">
      <c r="A1592" s="1824" t="s">
        <v>230</v>
      </c>
      <c r="B1592" s="1825"/>
      <c r="C1592" s="1825"/>
      <c r="D1592" s="1826"/>
      <c r="E1592" s="1821">
        <v>411810000</v>
      </c>
      <c r="F1592" s="1821">
        <v>486683000</v>
      </c>
      <c r="G1592" s="1821">
        <v>475496906.51</v>
      </c>
      <c r="H1592" s="1821">
        <v>41582271.99</v>
      </c>
    </row>
    <row r="1593" spans="1:8" ht="12.75">
      <c r="A1593" s="1822" t="s">
        <v>231</v>
      </c>
      <c r="B1593" s="379" t="s">
        <v>232</v>
      </c>
      <c r="C1593" s="1823" t="s">
        <v>233</v>
      </c>
      <c r="D1593" s="379" t="s">
        <v>3422</v>
      </c>
      <c r="E1593" s="1168">
        <v>450000</v>
      </c>
      <c r="F1593" s="1168">
        <v>0</v>
      </c>
      <c r="G1593" s="1168">
        <v>0</v>
      </c>
      <c r="H1593" s="1168">
        <v>0</v>
      </c>
    </row>
    <row r="1594" spans="1:8" ht="12.75">
      <c r="A1594" s="1822" t="s">
        <v>231</v>
      </c>
      <c r="B1594" s="379" t="s">
        <v>232</v>
      </c>
      <c r="C1594" s="1823" t="s">
        <v>233</v>
      </c>
      <c r="D1594" s="379" t="s">
        <v>3423</v>
      </c>
      <c r="E1594" s="1168">
        <v>0</v>
      </c>
      <c r="F1594" s="1168">
        <v>450000</v>
      </c>
      <c r="G1594" s="1168">
        <v>450000</v>
      </c>
      <c r="H1594" s="1168">
        <v>0</v>
      </c>
    </row>
    <row r="1595" spans="1:8" ht="12.75">
      <c r="A1595" s="1822" t="s">
        <v>234</v>
      </c>
      <c r="B1595" s="379" t="s">
        <v>235</v>
      </c>
      <c r="C1595" s="1823" t="s">
        <v>236</v>
      </c>
      <c r="D1595" s="379" t="s">
        <v>3422</v>
      </c>
      <c r="E1595" s="1168">
        <v>500000</v>
      </c>
      <c r="F1595" s="1168">
        <v>500000</v>
      </c>
      <c r="G1595" s="1168">
        <v>500000</v>
      </c>
      <c r="H1595" s="1168">
        <v>0</v>
      </c>
    </row>
    <row r="1596" spans="1:8" ht="12.75">
      <c r="A1596" s="1822" t="s">
        <v>237</v>
      </c>
      <c r="B1596" s="379" t="s">
        <v>238</v>
      </c>
      <c r="C1596" s="1823" t="s">
        <v>239</v>
      </c>
      <c r="D1596" s="379" t="s">
        <v>3423</v>
      </c>
      <c r="E1596" s="1168">
        <v>50000</v>
      </c>
      <c r="F1596" s="1168">
        <v>50000</v>
      </c>
      <c r="G1596" s="1168">
        <v>50000</v>
      </c>
      <c r="H1596" s="1168">
        <v>0</v>
      </c>
    </row>
    <row r="1597" spans="1:8" ht="12.75">
      <c r="A1597" s="1822" t="s">
        <v>240</v>
      </c>
      <c r="B1597" s="379" t="s">
        <v>241</v>
      </c>
      <c r="C1597" s="1823" t="s">
        <v>241</v>
      </c>
      <c r="D1597" s="379" t="s">
        <v>3422</v>
      </c>
      <c r="E1597" s="1168">
        <v>50000</v>
      </c>
      <c r="F1597" s="1168">
        <v>50000</v>
      </c>
      <c r="G1597" s="1168">
        <v>0</v>
      </c>
      <c r="H1597" s="1168">
        <v>50000</v>
      </c>
    </row>
    <row r="1598" spans="1:8" ht="12.75">
      <c r="A1598" s="1822" t="s">
        <v>242</v>
      </c>
      <c r="B1598" s="379" t="s">
        <v>243</v>
      </c>
      <c r="C1598" s="1823" t="s">
        <v>244</v>
      </c>
      <c r="D1598" s="379" t="s">
        <v>3422</v>
      </c>
      <c r="E1598" s="1168">
        <v>300000</v>
      </c>
      <c r="F1598" s="1168">
        <v>300000</v>
      </c>
      <c r="G1598" s="1168">
        <v>300000</v>
      </c>
      <c r="H1598" s="1168">
        <v>0</v>
      </c>
    </row>
    <row r="1599" spans="1:8" ht="12.75">
      <c r="A1599" s="1822" t="s">
        <v>245</v>
      </c>
      <c r="B1599" s="379" t="s">
        <v>246</v>
      </c>
      <c r="C1599" s="1823" t="s">
        <v>1994</v>
      </c>
      <c r="D1599" s="379" t="s">
        <v>3422</v>
      </c>
      <c r="E1599" s="1168">
        <v>50000</v>
      </c>
      <c r="F1599" s="1168">
        <v>50000</v>
      </c>
      <c r="G1599" s="1168">
        <v>50000</v>
      </c>
      <c r="H1599" s="1168">
        <v>0</v>
      </c>
    </row>
    <row r="1600" spans="1:8" ht="12.75">
      <c r="A1600" s="1822" t="s">
        <v>247</v>
      </c>
      <c r="B1600" s="379" t="s">
        <v>248</v>
      </c>
      <c r="C1600" s="1823" t="s">
        <v>2144</v>
      </c>
      <c r="D1600" s="379" t="s">
        <v>3422</v>
      </c>
      <c r="E1600" s="1168">
        <v>1007000</v>
      </c>
      <c r="F1600" s="1168">
        <v>200000</v>
      </c>
      <c r="G1600" s="1168">
        <v>0</v>
      </c>
      <c r="H1600" s="1168">
        <v>200000</v>
      </c>
    </row>
    <row r="1601" spans="1:8" ht="12.75">
      <c r="A1601" s="1822" t="s">
        <v>249</v>
      </c>
      <c r="B1601" s="379" t="s">
        <v>250</v>
      </c>
      <c r="C1601" s="1823" t="s">
        <v>251</v>
      </c>
      <c r="D1601" s="379" t="s">
        <v>3422</v>
      </c>
      <c r="E1601" s="1168">
        <v>95000</v>
      </c>
      <c r="F1601" s="1168">
        <v>95000</v>
      </c>
      <c r="G1601" s="1168">
        <v>95000</v>
      </c>
      <c r="H1601" s="1168">
        <v>0</v>
      </c>
    </row>
    <row r="1602" spans="1:8" ht="12.75">
      <c r="A1602" s="1822" t="s">
        <v>252</v>
      </c>
      <c r="B1602" s="379" t="s">
        <v>253</v>
      </c>
      <c r="C1602" s="1823" t="s">
        <v>254</v>
      </c>
      <c r="D1602" s="379" t="s">
        <v>3422</v>
      </c>
      <c r="E1602" s="1168">
        <v>210000</v>
      </c>
      <c r="F1602" s="1168">
        <v>210000</v>
      </c>
      <c r="G1602" s="1168">
        <v>0</v>
      </c>
      <c r="H1602" s="1168">
        <v>210000</v>
      </c>
    </row>
    <row r="1603" spans="1:8" ht="12.75">
      <c r="A1603" s="1822" t="s">
        <v>255</v>
      </c>
      <c r="B1603" s="379" t="s">
        <v>256</v>
      </c>
      <c r="C1603" s="1823" t="s">
        <v>257</v>
      </c>
      <c r="D1603" s="379" t="s">
        <v>3422</v>
      </c>
      <c r="E1603" s="1168">
        <v>235000</v>
      </c>
      <c r="F1603" s="1168">
        <v>235000</v>
      </c>
      <c r="G1603" s="1168">
        <v>235000</v>
      </c>
      <c r="H1603" s="1168">
        <v>0</v>
      </c>
    </row>
    <row r="1604" spans="1:8" ht="12.75">
      <c r="A1604" s="1822">
        <v>2142144011</v>
      </c>
      <c r="B1604" s="379" t="s">
        <v>258</v>
      </c>
      <c r="C1604" s="1823" t="s">
        <v>258</v>
      </c>
      <c r="D1604" s="379" t="s">
        <v>3422</v>
      </c>
      <c r="E1604" s="1168">
        <v>98000</v>
      </c>
      <c r="F1604" s="1168">
        <v>98000</v>
      </c>
      <c r="G1604" s="1168">
        <v>98000</v>
      </c>
      <c r="H1604" s="1168">
        <v>0</v>
      </c>
    </row>
    <row r="1605" spans="1:8" ht="12.75">
      <c r="A1605" s="1822" t="s">
        <v>259</v>
      </c>
      <c r="B1605" s="379" t="s">
        <v>260</v>
      </c>
      <c r="C1605" s="1823" t="s">
        <v>261</v>
      </c>
      <c r="D1605" s="379" t="s">
        <v>3422</v>
      </c>
      <c r="E1605" s="1168">
        <v>400000</v>
      </c>
      <c r="F1605" s="1168">
        <v>400000</v>
      </c>
      <c r="G1605" s="1168">
        <v>370000</v>
      </c>
      <c r="H1605" s="1168">
        <v>30000</v>
      </c>
    </row>
    <row r="1606" spans="1:8" ht="12.75">
      <c r="A1606" s="1822" t="s">
        <v>262</v>
      </c>
      <c r="B1606" s="379" t="s">
        <v>263</v>
      </c>
      <c r="C1606" s="1823" t="s">
        <v>264</v>
      </c>
      <c r="D1606" s="379" t="s">
        <v>3422</v>
      </c>
      <c r="E1606" s="1168">
        <v>125000</v>
      </c>
      <c r="F1606" s="1168">
        <v>0</v>
      </c>
      <c r="G1606" s="1168">
        <v>0</v>
      </c>
      <c r="H1606" s="1168">
        <v>0</v>
      </c>
    </row>
    <row r="1607" spans="1:8" ht="12.75">
      <c r="A1607" s="1822" t="s">
        <v>265</v>
      </c>
      <c r="B1607" s="379" t="s">
        <v>266</v>
      </c>
      <c r="C1607" s="1823" t="s">
        <v>267</v>
      </c>
      <c r="D1607" s="379" t="s">
        <v>3422</v>
      </c>
      <c r="E1607" s="1168">
        <v>250000</v>
      </c>
      <c r="F1607" s="1168">
        <v>250000</v>
      </c>
      <c r="G1607" s="1168">
        <v>250000</v>
      </c>
      <c r="H1607" s="1168">
        <v>0</v>
      </c>
    </row>
    <row r="1608" spans="1:8" ht="12.75">
      <c r="A1608" s="1822" t="s">
        <v>268</v>
      </c>
      <c r="B1608" s="379" t="s">
        <v>269</v>
      </c>
      <c r="C1608" s="1823" t="s">
        <v>267</v>
      </c>
      <c r="D1608" s="379" t="s">
        <v>3422</v>
      </c>
      <c r="E1608" s="1168">
        <v>180000</v>
      </c>
      <c r="F1608" s="1168">
        <v>69000</v>
      </c>
      <c r="G1608" s="1168">
        <v>69000</v>
      </c>
      <c r="H1608" s="1168">
        <v>0</v>
      </c>
    </row>
    <row r="1609" spans="1:8" ht="12.75">
      <c r="A1609" s="1822" t="s">
        <v>268</v>
      </c>
      <c r="B1609" s="379" t="s">
        <v>269</v>
      </c>
      <c r="C1609" s="1823" t="s">
        <v>267</v>
      </c>
      <c r="D1609" s="379" t="s">
        <v>3423</v>
      </c>
      <c r="E1609" s="1168">
        <v>0</v>
      </c>
      <c r="F1609" s="1168">
        <v>111000</v>
      </c>
      <c r="G1609" s="1168">
        <v>111000</v>
      </c>
      <c r="H1609" s="1168">
        <v>0</v>
      </c>
    </row>
    <row r="1610" spans="1:8" ht="12.75">
      <c r="A1610" s="1822" t="s">
        <v>270</v>
      </c>
      <c r="B1610" s="379" t="s">
        <v>271</v>
      </c>
      <c r="C1610" s="1823" t="s">
        <v>272</v>
      </c>
      <c r="D1610" s="379" t="s">
        <v>3422</v>
      </c>
      <c r="E1610" s="1168">
        <v>2000000</v>
      </c>
      <c r="F1610" s="1168">
        <v>2000000</v>
      </c>
      <c r="G1610" s="1168">
        <v>0</v>
      </c>
      <c r="H1610" s="1168">
        <v>2000000</v>
      </c>
    </row>
    <row r="1611" spans="1:8" ht="12.75">
      <c r="A1611" s="1822" t="s">
        <v>273</v>
      </c>
      <c r="B1611" s="379" t="s">
        <v>274</v>
      </c>
      <c r="C1611" s="1823" t="s">
        <v>275</v>
      </c>
      <c r="D1611" s="379" t="s">
        <v>3422</v>
      </c>
      <c r="E1611" s="1168">
        <v>2000000</v>
      </c>
      <c r="F1611" s="1168">
        <v>2000000</v>
      </c>
      <c r="G1611" s="1168">
        <v>2000000</v>
      </c>
      <c r="H1611" s="1168">
        <v>0</v>
      </c>
    </row>
    <row r="1612" spans="1:8" ht="12.75">
      <c r="A1612" s="1822" t="s">
        <v>276</v>
      </c>
      <c r="B1612" s="379" t="s">
        <v>277</v>
      </c>
      <c r="C1612" s="1823" t="s">
        <v>278</v>
      </c>
      <c r="D1612" s="379" t="s">
        <v>3422</v>
      </c>
      <c r="E1612" s="1168">
        <v>2000000</v>
      </c>
      <c r="F1612" s="1168">
        <v>2000000</v>
      </c>
      <c r="G1612" s="1168">
        <v>2000000</v>
      </c>
      <c r="H1612" s="1168">
        <v>0</v>
      </c>
    </row>
    <row r="1613" spans="1:8" ht="12.75">
      <c r="A1613" s="1822" t="s">
        <v>279</v>
      </c>
      <c r="B1613" s="379" t="s">
        <v>280</v>
      </c>
      <c r="C1613" s="1823" t="s">
        <v>281</v>
      </c>
      <c r="D1613" s="379" t="s">
        <v>3422</v>
      </c>
      <c r="E1613" s="1168">
        <v>2000000</v>
      </c>
      <c r="F1613" s="1168">
        <v>2000000</v>
      </c>
      <c r="G1613" s="1168">
        <v>2000000</v>
      </c>
      <c r="H1613" s="1168">
        <v>0</v>
      </c>
    </row>
    <row r="1614" spans="1:8" ht="12.75">
      <c r="A1614" s="1822" t="s">
        <v>282</v>
      </c>
      <c r="B1614" s="379" t="s">
        <v>283</v>
      </c>
      <c r="C1614" s="1823" t="s">
        <v>284</v>
      </c>
      <c r="D1614" s="379" t="s">
        <v>3422</v>
      </c>
      <c r="E1614" s="1168">
        <v>2000000</v>
      </c>
      <c r="F1614" s="1168">
        <v>2000000</v>
      </c>
      <c r="G1614" s="1168">
        <v>1987000</v>
      </c>
      <c r="H1614" s="1168">
        <v>13000</v>
      </c>
    </row>
    <row r="1615" spans="1:8" ht="12.75">
      <c r="A1615" s="1822" t="s">
        <v>285</v>
      </c>
      <c r="B1615" s="379" t="s">
        <v>286</v>
      </c>
      <c r="C1615" s="1823" t="s">
        <v>287</v>
      </c>
      <c r="D1615" s="379" t="s">
        <v>3422</v>
      </c>
      <c r="E1615" s="1168">
        <v>150000</v>
      </c>
      <c r="F1615" s="1168">
        <v>150000</v>
      </c>
      <c r="G1615" s="1168">
        <v>149999.5</v>
      </c>
      <c r="H1615" s="1168">
        <v>0.5</v>
      </c>
    </row>
    <row r="1616" spans="1:8" ht="12.75">
      <c r="A1616" s="1822" t="s">
        <v>288</v>
      </c>
      <c r="B1616" s="379" t="s">
        <v>289</v>
      </c>
      <c r="C1616" s="1823" t="s">
        <v>290</v>
      </c>
      <c r="D1616" s="379" t="s">
        <v>3422</v>
      </c>
      <c r="E1616" s="1168">
        <v>270000</v>
      </c>
      <c r="F1616" s="1168">
        <v>270000</v>
      </c>
      <c r="G1616" s="1168">
        <v>0</v>
      </c>
      <c r="H1616" s="1168">
        <v>270000</v>
      </c>
    </row>
    <row r="1617" spans="1:8" ht="12.75">
      <c r="A1617" s="1822" t="s">
        <v>291</v>
      </c>
      <c r="B1617" s="379" t="s">
        <v>292</v>
      </c>
      <c r="C1617" s="1823" t="s">
        <v>2076</v>
      </c>
      <c r="D1617" s="379" t="s">
        <v>3422</v>
      </c>
      <c r="E1617" s="1168">
        <v>240000</v>
      </c>
      <c r="F1617" s="1168">
        <v>240000</v>
      </c>
      <c r="G1617" s="1168">
        <v>0</v>
      </c>
      <c r="H1617" s="1168">
        <v>240000</v>
      </c>
    </row>
    <row r="1618" spans="1:8" ht="12.75">
      <c r="A1618" s="1822" t="s">
        <v>293</v>
      </c>
      <c r="B1618" s="379" t="s">
        <v>294</v>
      </c>
      <c r="C1618" s="1823" t="s">
        <v>295</v>
      </c>
      <c r="D1618" s="379" t="s">
        <v>3422</v>
      </c>
      <c r="E1618" s="1168">
        <v>300000</v>
      </c>
      <c r="F1618" s="1168">
        <v>300000</v>
      </c>
      <c r="G1618" s="1168">
        <v>300000</v>
      </c>
      <c r="H1618" s="1168">
        <v>0</v>
      </c>
    </row>
    <row r="1619" spans="1:8" ht="12.75">
      <c r="A1619" s="1822" t="s">
        <v>296</v>
      </c>
      <c r="B1619" s="379" t="s">
        <v>297</v>
      </c>
      <c r="C1619" s="1823" t="s">
        <v>298</v>
      </c>
      <c r="D1619" s="379" t="s">
        <v>3422</v>
      </c>
      <c r="E1619" s="1168">
        <v>100000</v>
      </c>
      <c r="F1619" s="1168">
        <v>100000</v>
      </c>
      <c r="G1619" s="1168">
        <v>100000</v>
      </c>
      <c r="H1619" s="1168">
        <v>0</v>
      </c>
    </row>
    <row r="1620" spans="1:8" ht="12.75">
      <c r="A1620" s="1822" t="s">
        <v>299</v>
      </c>
      <c r="B1620" s="379" t="s">
        <v>300</v>
      </c>
      <c r="C1620" s="1823" t="s">
        <v>301</v>
      </c>
      <c r="D1620" s="379" t="s">
        <v>3422</v>
      </c>
      <c r="E1620" s="1168">
        <v>280000</v>
      </c>
      <c r="F1620" s="1168">
        <v>280000</v>
      </c>
      <c r="G1620" s="1168">
        <v>280000</v>
      </c>
      <c r="H1620" s="1168">
        <v>0</v>
      </c>
    </row>
    <row r="1621" spans="1:8" ht="12.75">
      <c r="A1621" s="1822" t="s">
        <v>302</v>
      </c>
      <c r="B1621" s="379" t="s">
        <v>303</v>
      </c>
      <c r="C1621" s="1823" t="s">
        <v>304</v>
      </c>
      <c r="D1621" s="379" t="s">
        <v>3422</v>
      </c>
      <c r="E1621" s="1168">
        <v>150000</v>
      </c>
      <c r="F1621" s="1168">
        <v>150000</v>
      </c>
      <c r="G1621" s="1168">
        <v>0</v>
      </c>
      <c r="H1621" s="1168">
        <v>150000</v>
      </c>
    </row>
    <row r="1622" spans="1:8" ht="12.75">
      <c r="A1622" s="1822" t="s">
        <v>305</v>
      </c>
      <c r="B1622" s="379" t="s">
        <v>306</v>
      </c>
      <c r="C1622" s="1823" t="s">
        <v>307</v>
      </c>
      <c r="D1622" s="379" t="s">
        <v>3422</v>
      </c>
      <c r="E1622" s="1168">
        <v>150000</v>
      </c>
      <c r="F1622" s="1168">
        <v>150000</v>
      </c>
      <c r="G1622" s="1168">
        <v>150000</v>
      </c>
      <c r="H1622" s="1168">
        <v>0</v>
      </c>
    </row>
    <row r="1623" spans="1:8" ht="12.75">
      <c r="A1623" s="1822" t="s">
        <v>308</v>
      </c>
      <c r="B1623" s="379" t="s">
        <v>309</v>
      </c>
      <c r="C1623" s="1823" t="s">
        <v>310</v>
      </c>
      <c r="D1623" s="379" t="s">
        <v>3422</v>
      </c>
      <c r="E1623" s="1168">
        <v>275000</v>
      </c>
      <c r="F1623" s="1168">
        <v>275000</v>
      </c>
      <c r="G1623" s="1168">
        <v>0</v>
      </c>
      <c r="H1623" s="1168">
        <v>275000</v>
      </c>
    </row>
    <row r="1624" spans="1:8" ht="12.75">
      <c r="A1624" s="1822" t="s">
        <v>311</v>
      </c>
      <c r="B1624" s="379" t="s">
        <v>312</v>
      </c>
      <c r="C1624" s="1823" t="s">
        <v>313</v>
      </c>
      <c r="D1624" s="379" t="s">
        <v>3422</v>
      </c>
      <c r="E1624" s="1168">
        <v>280000</v>
      </c>
      <c r="F1624" s="1168">
        <v>280000</v>
      </c>
      <c r="G1624" s="1168">
        <v>280000</v>
      </c>
      <c r="H1624" s="1168">
        <v>0</v>
      </c>
    </row>
    <row r="1625" spans="1:8" ht="12.75">
      <c r="A1625" s="1822" t="s">
        <v>314</v>
      </c>
      <c r="B1625" s="379" t="s">
        <v>315</v>
      </c>
      <c r="C1625" s="1823" t="s">
        <v>316</v>
      </c>
      <c r="D1625" s="379" t="s">
        <v>3422</v>
      </c>
      <c r="E1625" s="1168">
        <v>70000</v>
      </c>
      <c r="F1625" s="1168">
        <v>70000</v>
      </c>
      <c r="G1625" s="1168">
        <v>70000</v>
      </c>
      <c r="H1625" s="1168">
        <v>0</v>
      </c>
    </row>
    <row r="1626" spans="1:8" ht="12.75">
      <c r="A1626" s="1822" t="s">
        <v>317</v>
      </c>
      <c r="B1626" s="379" t="s">
        <v>318</v>
      </c>
      <c r="C1626" s="1823" t="s">
        <v>2020</v>
      </c>
      <c r="D1626" s="379" t="s">
        <v>3422</v>
      </c>
      <c r="E1626" s="1168">
        <v>100000</v>
      </c>
      <c r="F1626" s="1168">
        <v>100000</v>
      </c>
      <c r="G1626" s="1168">
        <v>0</v>
      </c>
      <c r="H1626" s="1168">
        <v>100000</v>
      </c>
    </row>
    <row r="1627" spans="1:8" ht="12.75">
      <c r="A1627" s="1822" t="s">
        <v>319</v>
      </c>
      <c r="B1627" s="379" t="s">
        <v>320</v>
      </c>
      <c r="C1627" s="1823" t="s">
        <v>1952</v>
      </c>
      <c r="D1627" s="379" t="s">
        <v>3422</v>
      </c>
      <c r="E1627" s="1168">
        <v>390000</v>
      </c>
      <c r="F1627" s="1168">
        <v>390000</v>
      </c>
      <c r="G1627" s="1168">
        <v>0</v>
      </c>
      <c r="H1627" s="1168">
        <v>390000</v>
      </c>
    </row>
    <row r="1628" spans="1:8" ht="12.75">
      <c r="A1628" s="1822" t="s">
        <v>321</v>
      </c>
      <c r="B1628" s="379" t="s">
        <v>322</v>
      </c>
      <c r="C1628" s="1823" t="s">
        <v>323</v>
      </c>
      <c r="D1628" s="379" t="s">
        <v>3422</v>
      </c>
      <c r="E1628" s="1168">
        <v>130000</v>
      </c>
      <c r="F1628" s="1168">
        <v>130000</v>
      </c>
      <c r="G1628" s="1168">
        <v>130000</v>
      </c>
      <c r="H1628" s="1168">
        <v>0</v>
      </c>
    </row>
    <row r="1629" spans="1:8" ht="12.75">
      <c r="A1629" s="1822" t="s">
        <v>324</v>
      </c>
      <c r="B1629" s="379" t="s">
        <v>325</v>
      </c>
      <c r="C1629" s="1823" t="s">
        <v>326</v>
      </c>
      <c r="D1629" s="379" t="s">
        <v>3422</v>
      </c>
      <c r="E1629" s="1168">
        <v>400000</v>
      </c>
      <c r="F1629" s="1168">
        <v>400000</v>
      </c>
      <c r="G1629" s="1168">
        <v>0</v>
      </c>
      <c r="H1629" s="1168">
        <v>400000</v>
      </c>
    </row>
    <row r="1630" spans="1:8" ht="12.75">
      <c r="A1630" s="1822" t="s">
        <v>327</v>
      </c>
      <c r="B1630" s="379" t="s">
        <v>328</v>
      </c>
      <c r="C1630" s="1823" t="s">
        <v>329</v>
      </c>
      <c r="D1630" s="379" t="s">
        <v>3422</v>
      </c>
      <c r="E1630" s="1168">
        <v>75000</v>
      </c>
      <c r="F1630" s="1168">
        <v>75000</v>
      </c>
      <c r="G1630" s="1168">
        <v>75000</v>
      </c>
      <c r="H1630" s="1168">
        <v>0</v>
      </c>
    </row>
    <row r="1631" spans="1:8" ht="12.75">
      <c r="A1631" s="1822" t="s">
        <v>330</v>
      </c>
      <c r="B1631" s="379" t="s">
        <v>331</v>
      </c>
      <c r="C1631" s="1823" t="s">
        <v>332</v>
      </c>
      <c r="D1631" s="379" t="s">
        <v>3422</v>
      </c>
      <c r="E1631" s="1168">
        <v>290000</v>
      </c>
      <c r="F1631" s="1168">
        <v>290000</v>
      </c>
      <c r="G1631" s="1168">
        <v>289999.97</v>
      </c>
      <c r="H1631" s="1168">
        <v>0.03</v>
      </c>
    </row>
    <row r="1632" spans="1:8" ht="12.75">
      <c r="A1632" s="1822" t="s">
        <v>333</v>
      </c>
      <c r="B1632" s="379" t="s">
        <v>334</v>
      </c>
      <c r="C1632" s="1823" t="s">
        <v>335</v>
      </c>
      <c r="D1632" s="379" t="s">
        <v>3422</v>
      </c>
      <c r="E1632" s="1168">
        <v>100000</v>
      </c>
      <c r="F1632" s="1168">
        <v>100000</v>
      </c>
      <c r="G1632" s="1168">
        <v>100000</v>
      </c>
      <c r="H1632" s="1168">
        <v>0</v>
      </c>
    </row>
    <row r="1633" spans="1:8" ht="12.75">
      <c r="A1633" s="1822" t="s">
        <v>336</v>
      </c>
      <c r="B1633" s="379" t="s">
        <v>337</v>
      </c>
      <c r="C1633" s="1823" t="s">
        <v>338</v>
      </c>
      <c r="D1633" s="379" t="s">
        <v>3422</v>
      </c>
      <c r="E1633" s="1168">
        <v>70000</v>
      </c>
      <c r="F1633" s="1168">
        <v>70000</v>
      </c>
      <c r="G1633" s="1168">
        <v>70000</v>
      </c>
      <c r="H1633" s="1168">
        <v>0</v>
      </c>
    </row>
    <row r="1634" spans="1:8" ht="12.75">
      <c r="A1634" s="1822" t="s">
        <v>339</v>
      </c>
      <c r="B1634" s="379" t="s">
        <v>340</v>
      </c>
      <c r="C1634" s="1823" t="s">
        <v>341</v>
      </c>
      <c r="D1634" s="379" t="s">
        <v>3422</v>
      </c>
      <c r="E1634" s="1168">
        <v>180000</v>
      </c>
      <c r="F1634" s="1168">
        <v>180000</v>
      </c>
      <c r="G1634" s="1168">
        <v>180000</v>
      </c>
      <c r="H1634" s="1168">
        <v>0</v>
      </c>
    </row>
    <row r="1635" spans="1:8" ht="12.75">
      <c r="A1635" s="1822" t="s">
        <v>342</v>
      </c>
      <c r="B1635" s="379" t="s">
        <v>343</v>
      </c>
      <c r="C1635" s="1823" t="s">
        <v>344</v>
      </c>
      <c r="D1635" s="379" t="s">
        <v>3422</v>
      </c>
      <c r="E1635" s="1168">
        <v>0</v>
      </c>
      <c r="F1635" s="1168">
        <v>800000</v>
      </c>
      <c r="G1635" s="1168">
        <v>798598.4</v>
      </c>
      <c r="H1635" s="1168">
        <v>1401.6</v>
      </c>
    </row>
    <row r="1636" spans="1:8" ht="12.75">
      <c r="A1636" s="1822" t="s">
        <v>345</v>
      </c>
      <c r="B1636" s="379" t="s">
        <v>346</v>
      </c>
      <c r="C1636" s="1823" t="s">
        <v>347</v>
      </c>
      <c r="D1636" s="379" t="s">
        <v>3422</v>
      </c>
      <c r="E1636" s="1168">
        <v>0</v>
      </c>
      <c r="F1636" s="1168">
        <v>2000000</v>
      </c>
      <c r="G1636" s="1168">
        <v>2000000</v>
      </c>
      <c r="H1636" s="1168">
        <v>0</v>
      </c>
    </row>
    <row r="1637" spans="1:8" ht="12.75">
      <c r="A1637" s="1822" t="s">
        <v>348</v>
      </c>
      <c r="B1637" s="379" t="s">
        <v>349</v>
      </c>
      <c r="C1637" s="1823" t="s">
        <v>350</v>
      </c>
      <c r="D1637" s="379" t="s">
        <v>3422</v>
      </c>
      <c r="E1637" s="1168">
        <v>0</v>
      </c>
      <c r="F1637" s="1168">
        <v>400000</v>
      </c>
      <c r="G1637" s="1168">
        <v>400000</v>
      </c>
      <c r="H1637" s="1168">
        <v>0</v>
      </c>
    </row>
    <row r="1638" spans="1:8" ht="12.75">
      <c r="A1638" s="1822" t="s">
        <v>351</v>
      </c>
      <c r="B1638" s="379" t="s">
        <v>352</v>
      </c>
      <c r="C1638" s="1823" t="s">
        <v>353</v>
      </c>
      <c r="D1638" s="379" t="s">
        <v>3422</v>
      </c>
      <c r="E1638" s="1168">
        <v>0</v>
      </c>
      <c r="F1638" s="1168">
        <v>3000000</v>
      </c>
      <c r="G1638" s="1168">
        <v>2882000</v>
      </c>
      <c r="H1638" s="1168">
        <v>118000</v>
      </c>
    </row>
    <row r="1639" spans="1:8" ht="12.75">
      <c r="A1639" s="1822">
        <v>2142144045</v>
      </c>
      <c r="B1639" s="379" t="s">
        <v>354</v>
      </c>
      <c r="C1639" s="1823" t="s">
        <v>2645</v>
      </c>
      <c r="D1639" s="379" t="s">
        <v>3422</v>
      </c>
      <c r="E1639" s="1168">
        <v>0</v>
      </c>
      <c r="F1639" s="1168">
        <v>3000000</v>
      </c>
      <c r="G1639" s="1168">
        <v>0</v>
      </c>
      <c r="H1639" s="1168">
        <v>3000000</v>
      </c>
    </row>
    <row r="1640" spans="1:8" ht="12.75">
      <c r="A1640" s="1822" t="s">
        <v>355</v>
      </c>
      <c r="B1640" s="379" t="s">
        <v>356</v>
      </c>
      <c r="C1640" s="1823" t="s">
        <v>357</v>
      </c>
      <c r="D1640" s="379" t="s">
        <v>3422</v>
      </c>
      <c r="E1640" s="1168">
        <v>0</v>
      </c>
      <c r="F1640" s="1168">
        <v>300000</v>
      </c>
      <c r="G1640" s="1168">
        <v>0</v>
      </c>
      <c r="H1640" s="1168">
        <v>300000</v>
      </c>
    </row>
    <row r="1641" spans="1:8" ht="12.75">
      <c r="A1641" s="1822" t="s">
        <v>358</v>
      </c>
      <c r="B1641" s="379" t="s">
        <v>359</v>
      </c>
      <c r="C1641" s="1823" t="s">
        <v>360</v>
      </c>
      <c r="D1641" s="379" t="s">
        <v>3422</v>
      </c>
      <c r="E1641" s="1168">
        <v>0</v>
      </c>
      <c r="F1641" s="1168">
        <v>3500000</v>
      </c>
      <c r="G1641" s="1168">
        <v>3500000</v>
      </c>
      <c r="H1641" s="1168">
        <v>0</v>
      </c>
    </row>
    <row r="1642" spans="1:8" ht="12.75">
      <c r="A1642" s="1822" t="s">
        <v>361</v>
      </c>
      <c r="B1642" s="379" t="s">
        <v>362</v>
      </c>
      <c r="C1642" s="1823" t="s">
        <v>363</v>
      </c>
      <c r="D1642" s="379" t="s">
        <v>3422</v>
      </c>
      <c r="E1642" s="1168">
        <v>0</v>
      </c>
      <c r="F1642" s="1168">
        <v>5000000</v>
      </c>
      <c r="G1642" s="1168">
        <v>0</v>
      </c>
      <c r="H1642" s="1168">
        <v>5000000</v>
      </c>
    </row>
    <row r="1643" spans="1:8" ht="12.75">
      <c r="A1643" s="1822" t="s">
        <v>364</v>
      </c>
      <c r="B1643" s="379" t="s">
        <v>365</v>
      </c>
      <c r="C1643" s="1823" t="s">
        <v>366</v>
      </c>
      <c r="D1643" s="379" t="s">
        <v>3422</v>
      </c>
      <c r="E1643" s="1168">
        <v>0</v>
      </c>
      <c r="F1643" s="1168">
        <v>250000</v>
      </c>
      <c r="G1643" s="1168">
        <v>240000</v>
      </c>
      <c r="H1643" s="1168">
        <v>10000</v>
      </c>
    </row>
    <row r="1644" spans="1:8" ht="12.75">
      <c r="A1644" s="1822" t="s">
        <v>367</v>
      </c>
      <c r="B1644" s="379" t="s">
        <v>368</v>
      </c>
      <c r="C1644" s="1823" t="s">
        <v>1908</v>
      </c>
      <c r="D1644" s="379" t="s">
        <v>3422</v>
      </c>
      <c r="E1644" s="1168">
        <v>0</v>
      </c>
      <c r="F1644" s="1168">
        <v>557000</v>
      </c>
      <c r="G1644" s="1168">
        <v>557000</v>
      </c>
      <c r="H1644" s="1168">
        <v>0</v>
      </c>
    </row>
    <row r="1645" spans="1:8" ht="12.75">
      <c r="A1645" s="1822" t="s">
        <v>369</v>
      </c>
      <c r="B1645" s="379" t="s">
        <v>370</v>
      </c>
      <c r="C1645" s="1823" t="s">
        <v>371</v>
      </c>
      <c r="D1645" s="379" t="s">
        <v>3422</v>
      </c>
      <c r="E1645" s="1168">
        <v>0</v>
      </c>
      <c r="F1645" s="1168">
        <v>2000000</v>
      </c>
      <c r="G1645" s="1168">
        <v>2000000</v>
      </c>
      <c r="H1645" s="1168">
        <v>0</v>
      </c>
    </row>
    <row r="1646" spans="1:8" ht="12.75">
      <c r="A1646" s="1822" t="s">
        <v>372</v>
      </c>
      <c r="B1646" s="379" t="s">
        <v>373</v>
      </c>
      <c r="C1646" s="1823" t="s">
        <v>374</v>
      </c>
      <c r="D1646" s="379" t="s">
        <v>3422</v>
      </c>
      <c r="E1646" s="1168">
        <v>0</v>
      </c>
      <c r="F1646" s="1168">
        <v>125000</v>
      </c>
      <c r="G1646" s="1168">
        <v>0</v>
      </c>
      <c r="H1646" s="1168">
        <v>125000</v>
      </c>
    </row>
    <row r="1647" spans="1:8" s="174" customFormat="1" ht="12.75">
      <c r="A1647" s="1824" t="s">
        <v>375</v>
      </c>
      <c r="B1647" s="1825"/>
      <c r="C1647" s="1825"/>
      <c r="D1647" s="1826"/>
      <c r="E1647" s="1821">
        <v>18000000</v>
      </c>
      <c r="F1647" s="1821">
        <v>38000000</v>
      </c>
      <c r="G1647" s="1821">
        <v>25117597.87</v>
      </c>
      <c r="H1647" s="1821">
        <v>12882402.13</v>
      </c>
    </row>
    <row r="1648" spans="1:8" ht="12.75">
      <c r="A1648" s="1822" t="s">
        <v>376</v>
      </c>
      <c r="B1648" s="379" t="s">
        <v>377</v>
      </c>
      <c r="C1648" s="1823" t="s">
        <v>3464</v>
      </c>
      <c r="D1648" s="379" t="s">
        <v>3422</v>
      </c>
      <c r="E1648" s="1168">
        <v>0</v>
      </c>
      <c r="F1648" s="1168">
        <v>454000</v>
      </c>
      <c r="G1648" s="1168">
        <v>453200</v>
      </c>
      <c r="H1648" s="1168">
        <v>800</v>
      </c>
    </row>
    <row r="1649" spans="1:8" ht="12.75">
      <c r="A1649" s="1822" t="s">
        <v>378</v>
      </c>
      <c r="B1649" s="379" t="s">
        <v>379</v>
      </c>
      <c r="C1649" s="1823" t="s">
        <v>3464</v>
      </c>
      <c r="D1649" s="379" t="s">
        <v>3422</v>
      </c>
      <c r="E1649" s="1168">
        <v>400000</v>
      </c>
      <c r="F1649" s="1168">
        <v>312000</v>
      </c>
      <c r="G1649" s="1168">
        <v>311030.3</v>
      </c>
      <c r="H1649" s="1168">
        <v>969.7</v>
      </c>
    </row>
    <row r="1650" spans="1:8" ht="12.75">
      <c r="A1650" s="1822" t="s">
        <v>380</v>
      </c>
      <c r="B1650" s="379" t="s">
        <v>381</v>
      </c>
      <c r="C1650" s="1823" t="s">
        <v>3466</v>
      </c>
      <c r="D1650" s="379" t="s">
        <v>3422</v>
      </c>
      <c r="E1650" s="1168">
        <v>122000</v>
      </c>
      <c r="F1650" s="1168">
        <v>122000</v>
      </c>
      <c r="G1650" s="1168">
        <v>121147</v>
      </c>
      <c r="H1650" s="1168">
        <v>853</v>
      </c>
    </row>
    <row r="1651" spans="1:8" ht="12.75">
      <c r="A1651" s="1822" t="s">
        <v>382</v>
      </c>
      <c r="B1651" s="379" t="s">
        <v>383</v>
      </c>
      <c r="C1651" s="1823" t="s">
        <v>3466</v>
      </c>
      <c r="D1651" s="379" t="s">
        <v>3422</v>
      </c>
      <c r="E1651" s="1168">
        <v>1000000</v>
      </c>
      <c r="F1651" s="1168">
        <v>1000000</v>
      </c>
      <c r="G1651" s="1168">
        <v>998568</v>
      </c>
      <c r="H1651" s="1168">
        <v>1432</v>
      </c>
    </row>
    <row r="1652" spans="1:8" ht="12.75">
      <c r="A1652" s="1822" t="s">
        <v>384</v>
      </c>
      <c r="B1652" s="379" t="s">
        <v>385</v>
      </c>
      <c r="C1652" s="1823" t="s">
        <v>3475</v>
      </c>
      <c r="D1652" s="379" t="s">
        <v>3422</v>
      </c>
      <c r="E1652" s="1168">
        <v>300000</v>
      </c>
      <c r="F1652" s="1168">
        <v>338000</v>
      </c>
      <c r="G1652" s="1168">
        <v>337729</v>
      </c>
      <c r="H1652" s="1168">
        <v>271</v>
      </c>
    </row>
    <row r="1653" spans="1:8" ht="12.75">
      <c r="A1653" s="1822" t="s">
        <v>386</v>
      </c>
      <c r="B1653" s="379" t="s">
        <v>387</v>
      </c>
      <c r="C1653" s="1823" t="s">
        <v>3481</v>
      </c>
      <c r="D1653" s="379" t="s">
        <v>3422</v>
      </c>
      <c r="E1653" s="1168">
        <v>175000</v>
      </c>
      <c r="F1653" s="1168">
        <v>223000</v>
      </c>
      <c r="G1653" s="1168">
        <v>223000</v>
      </c>
      <c r="H1653" s="1168">
        <v>0</v>
      </c>
    </row>
    <row r="1654" spans="1:8" ht="12.75">
      <c r="A1654" s="1822" t="s">
        <v>388</v>
      </c>
      <c r="B1654" s="379" t="s">
        <v>389</v>
      </c>
      <c r="C1654" s="1823" t="s">
        <v>3481</v>
      </c>
      <c r="D1654" s="379" t="s">
        <v>3422</v>
      </c>
      <c r="E1654" s="1168">
        <v>700000</v>
      </c>
      <c r="F1654" s="1168">
        <v>652000</v>
      </c>
      <c r="G1654" s="1168">
        <v>652000</v>
      </c>
      <c r="H1654" s="1168">
        <v>0</v>
      </c>
    </row>
    <row r="1655" spans="1:8" s="174" customFormat="1" ht="12.75">
      <c r="A1655" s="1824" t="s">
        <v>390</v>
      </c>
      <c r="B1655" s="1825"/>
      <c r="C1655" s="1825"/>
      <c r="D1655" s="1826"/>
      <c r="E1655" s="1821">
        <v>2697000</v>
      </c>
      <c r="F1655" s="1821">
        <v>3101000</v>
      </c>
      <c r="G1655" s="1821">
        <v>3096674.3</v>
      </c>
      <c r="H1655" s="1821">
        <v>4325.7</v>
      </c>
    </row>
    <row r="1656" spans="1:8" ht="12.75">
      <c r="A1656" s="1822" t="s">
        <v>391</v>
      </c>
      <c r="B1656" s="379" t="s">
        <v>392</v>
      </c>
      <c r="C1656" s="1823" t="s">
        <v>3462</v>
      </c>
      <c r="D1656" s="379" t="s">
        <v>3422</v>
      </c>
      <c r="E1656" s="1168">
        <v>0</v>
      </c>
      <c r="F1656" s="1168">
        <v>7983000</v>
      </c>
      <c r="G1656" s="1168">
        <v>7983000</v>
      </c>
      <c r="H1656" s="1168">
        <v>0</v>
      </c>
    </row>
    <row r="1657" spans="1:8" s="174" customFormat="1" ht="12.75">
      <c r="A1657" s="1824" t="s">
        <v>393</v>
      </c>
      <c r="B1657" s="1825"/>
      <c r="C1657" s="1825"/>
      <c r="D1657" s="1826"/>
      <c r="E1657" s="1821">
        <v>0</v>
      </c>
      <c r="F1657" s="1821">
        <v>7983000</v>
      </c>
      <c r="G1657" s="1821">
        <v>7983000</v>
      </c>
      <c r="H1657" s="1821">
        <v>0</v>
      </c>
    </row>
    <row r="1658" spans="1:8" ht="12.75">
      <c r="A1658" s="1822" t="s">
        <v>394</v>
      </c>
      <c r="B1658" s="379" t="s">
        <v>395</v>
      </c>
      <c r="C1658" s="1823" t="s">
        <v>3473</v>
      </c>
      <c r="D1658" s="379" t="s">
        <v>3422</v>
      </c>
      <c r="E1658" s="1168">
        <v>0</v>
      </c>
      <c r="F1658" s="1168">
        <v>4259000</v>
      </c>
      <c r="G1658" s="1168">
        <v>4258388</v>
      </c>
      <c r="H1658" s="1168">
        <v>612</v>
      </c>
    </row>
    <row r="1659" spans="1:8" ht="12.75">
      <c r="A1659" s="1822" t="s">
        <v>396</v>
      </c>
      <c r="B1659" s="379" t="s">
        <v>397</v>
      </c>
      <c r="C1659" s="1823" t="s">
        <v>2645</v>
      </c>
      <c r="D1659" s="379" t="s">
        <v>3423</v>
      </c>
      <c r="E1659" s="1168">
        <v>333000</v>
      </c>
      <c r="F1659" s="1168">
        <v>61000</v>
      </c>
      <c r="G1659" s="1168">
        <v>60225</v>
      </c>
      <c r="H1659" s="1168">
        <v>775</v>
      </c>
    </row>
    <row r="1660" spans="1:8" ht="12.75">
      <c r="A1660" s="1822" t="s">
        <v>398</v>
      </c>
      <c r="B1660" s="379" t="s">
        <v>399</v>
      </c>
      <c r="C1660" s="1823" t="s">
        <v>2645</v>
      </c>
      <c r="D1660" s="379" t="s">
        <v>3423</v>
      </c>
      <c r="E1660" s="1168">
        <v>108000</v>
      </c>
      <c r="F1660" s="1168">
        <v>52000</v>
      </c>
      <c r="G1660" s="1168">
        <v>51170</v>
      </c>
      <c r="H1660" s="1168">
        <v>830</v>
      </c>
    </row>
    <row r="1661" spans="1:8" ht="12.75">
      <c r="A1661" s="1822" t="s">
        <v>400</v>
      </c>
      <c r="B1661" s="379" t="s">
        <v>401</v>
      </c>
      <c r="C1661" s="1823" t="s">
        <v>2645</v>
      </c>
      <c r="D1661" s="379" t="s">
        <v>3422</v>
      </c>
      <c r="E1661" s="1168">
        <v>3042000</v>
      </c>
      <c r="F1661" s="1168">
        <v>4146000</v>
      </c>
      <c r="G1661" s="1168">
        <v>4144332.82</v>
      </c>
      <c r="H1661" s="1168">
        <v>1667.18</v>
      </c>
    </row>
    <row r="1662" spans="1:8" ht="12.75">
      <c r="A1662" s="1822" t="s">
        <v>402</v>
      </c>
      <c r="B1662" s="379" t="s">
        <v>403</v>
      </c>
      <c r="C1662" s="1823" t="s">
        <v>2645</v>
      </c>
      <c r="D1662" s="379" t="s">
        <v>3422</v>
      </c>
      <c r="E1662" s="1168">
        <v>435000</v>
      </c>
      <c r="F1662" s="1168">
        <v>435000</v>
      </c>
      <c r="G1662" s="1168">
        <v>0</v>
      </c>
      <c r="H1662" s="1168">
        <v>435000</v>
      </c>
    </row>
    <row r="1663" spans="1:8" ht="12.75">
      <c r="A1663" s="1822" t="s">
        <v>404</v>
      </c>
      <c r="B1663" s="379" t="s">
        <v>405</v>
      </c>
      <c r="C1663" s="1823" t="s">
        <v>2645</v>
      </c>
      <c r="D1663" s="379" t="s">
        <v>3422</v>
      </c>
      <c r="E1663" s="1168">
        <v>200000</v>
      </c>
      <c r="F1663" s="1168">
        <v>200000</v>
      </c>
      <c r="G1663" s="1168">
        <v>15000</v>
      </c>
      <c r="H1663" s="1168">
        <v>185000</v>
      </c>
    </row>
    <row r="1664" spans="1:8" ht="12.75">
      <c r="A1664" s="1822" t="s">
        <v>406</v>
      </c>
      <c r="B1664" s="379" t="s">
        <v>407</v>
      </c>
      <c r="C1664" s="1823" t="s">
        <v>2645</v>
      </c>
      <c r="D1664" s="379" t="s">
        <v>3422</v>
      </c>
      <c r="E1664" s="1168">
        <v>1650000</v>
      </c>
      <c r="F1664" s="1168">
        <v>2110000</v>
      </c>
      <c r="G1664" s="1168">
        <v>2109733</v>
      </c>
      <c r="H1664" s="1168">
        <v>267</v>
      </c>
    </row>
    <row r="1665" spans="1:8" ht="12.75">
      <c r="A1665" s="1822" t="s">
        <v>408</v>
      </c>
      <c r="B1665" s="379" t="s">
        <v>409</v>
      </c>
      <c r="C1665" s="1823" t="s">
        <v>2645</v>
      </c>
      <c r="D1665" s="379" t="s">
        <v>3422</v>
      </c>
      <c r="E1665" s="1168">
        <v>878000</v>
      </c>
      <c r="F1665" s="1168">
        <v>878000</v>
      </c>
      <c r="G1665" s="1168">
        <v>82098</v>
      </c>
      <c r="H1665" s="1168">
        <v>795902</v>
      </c>
    </row>
    <row r="1666" spans="1:8" ht="12.75">
      <c r="A1666" s="1822">
        <v>2142194008</v>
      </c>
      <c r="B1666" s="379" t="s">
        <v>410</v>
      </c>
      <c r="C1666" s="1823" t="s">
        <v>3464</v>
      </c>
      <c r="D1666" s="379" t="s">
        <v>3423</v>
      </c>
      <c r="E1666" s="1168">
        <v>150000</v>
      </c>
      <c r="F1666" s="1168">
        <v>0</v>
      </c>
      <c r="G1666" s="1168">
        <v>0</v>
      </c>
      <c r="H1666" s="1168">
        <v>0</v>
      </c>
    </row>
    <row r="1667" spans="1:8" ht="12.75">
      <c r="A1667" s="1822" t="s">
        <v>411</v>
      </c>
      <c r="B1667" s="379" t="s">
        <v>412</v>
      </c>
      <c r="C1667" s="1823" t="s">
        <v>3466</v>
      </c>
      <c r="D1667" s="379" t="s">
        <v>3423</v>
      </c>
      <c r="E1667" s="1168">
        <v>250000</v>
      </c>
      <c r="F1667" s="1168">
        <v>181000</v>
      </c>
      <c r="G1667" s="1168">
        <v>180880</v>
      </c>
      <c r="H1667" s="1168">
        <v>120</v>
      </c>
    </row>
    <row r="1668" spans="1:8" ht="12.75">
      <c r="A1668" s="1822">
        <v>2142194010</v>
      </c>
      <c r="B1668" s="379" t="s">
        <v>413</v>
      </c>
      <c r="C1668" s="1823" t="s">
        <v>3466</v>
      </c>
      <c r="D1668" s="379" t="s">
        <v>3423</v>
      </c>
      <c r="E1668" s="1168">
        <v>35000</v>
      </c>
      <c r="F1668" s="1168">
        <v>98000</v>
      </c>
      <c r="G1668" s="1168">
        <v>97580</v>
      </c>
      <c r="H1668" s="1168">
        <v>420</v>
      </c>
    </row>
    <row r="1669" spans="1:8" ht="12.75">
      <c r="A1669" s="1822">
        <v>2142194011</v>
      </c>
      <c r="B1669" s="379" t="s">
        <v>414</v>
      </c>
      <c r="C1669" s="1823" t="s">
        <v>3468</v>
      </c>
      <c r="D1669" s="379" t="s">
        <v>3423</v>
      </c>
      <c r="E1669" s="1168">
        <v>45000</v>
      </c>
      <c r="F1669" s="1168">
        <v>0</v>
      </c>
      <c r="G1669" s="1168">
        <v>0</v>
      </c>
      <c r="H1669" s="1168">
        <v>0</v>
      </c>
    </row>
    <row r="1670" spans="1:8" ht="12.75">
      <c r="A1670" s="1822" t="s">
        <v>415</v>
      </c>
      <c r="B1670" s="379" t="s">
        <v>416</v>
      </c>
      <c r="C1670" s="1823" t="s">
        <v>3471</v>
      </c>
      <c r="D1670" s="379" t="s">
        <v>3423</v>
      </c>
      <c r="E1670" s="1168">
        <v>100000</v>
      </c>
      <c r="F1670" s="1168">
        <v>100000</v>
      </c>
      <c r="G1670" s="1168">
        <v>99885</v>
      </c>
      <c r="H1670" s="1168">
        <v>115</v>
      </c>
    </row>
    <row r="1671" spans="1:8" ht="12.75">
      <c r="A1671" s="1822" t="s">
        <v>417</v>
      </c>
      <c r="B1671" s="379" t="s">
        <v>418</v>
      </c>
      <c r="C1671" s="1823" t="s">
        <v>3471</v>
      </c>
      <c r="D1671" s="379" t="s">
        <v>3423</v>
      </c>
      <c r="E1671" s="1168">
        <v>200000</v>
      </c>
      <c r="F1671" s="1168">
        <v>149000</v>
      </c>
      <c r="G1671" s="1168">
        <v>148230</v>
      </c>
      <c r="H1671" s="1168">
        <v>770</v>
      </c>
    </row>
    <row r="1672" spans="1:8" ht="12.75">
      <c r="A1672" s="1822">
        <v>2142194014</v>
      </c>
      <c r="B1672" s="379" t="s">
        <v>419</v>
      </c>
      <c r="C1672" s="1823" t="s">
        <v>3475</v>
      </c>
      <c r="D1672" s="379" t="s">
        <v>3423</v>
      </c>
      <c r="E1672" s="1168">
        <v>330000</v>
      </c>
      <c r="F1672" s="1168">
        <v>0</v>
      </c>
      <c r="G1672" s="1168">
        <v>0</v>
      </c>
      <c r="H1672" s="1168">
        <v>0</v>
      </c>
    </row>
    <row r="1673" spans="1:8" ht="12.75">
      <c r="A1673" s="1822">
        <v>2142194015</v>
      </c>
      <c r="B1673" s="379" t="s">
        <v>420</v>
      </c>
      <c r="C1673" s="1823" t="s">
        <v>3479</v>
      </c>
      <c r="D1673" s="379" t="s">
        <v>3423</v>
      </c>
      <c r="E1673" s="1168">
        <v>200000</v>
      </c>
      <c r="F1673" s="1168">
        <v>0</v>
      </c>
      <c r="G1673" s="1168">
        <v>0</v>
      </c>
      <c r="H1673" s="1168">
        <v>0</v>
      </c>
    </row>
    <row r="1674" spans="1:8" ht="12.75">
      <c r="A1674" s="1822">
        <v>2142194016</v>
      </c>
      <c r="B1674" s="379" t="s">
        <v>421</v>
      </c>
      <c r="C1674" s="1823" t="s">
        <v>3481</v>
      </c>
      <c r="D1674" s="379" t="s">
        <v>3423</v>
      </c>
      <c r="E1674" s="1168">
        <v>80000</v>
      </c>
      <c r="F1674" s="1168">
        <v>0</v>
      </c>
      <c r="G1674" s="1168">
        <v>0</v>
      </c>
      <c r="H1674" s="1168">
        <v>0</v>
      </c>
    </row>
    <row r="1675" spans="1:8" ht="12.75">
      <c r="A1675" s="1822">
        <v>2142194017</v>
      </c>
      <c r="B1675" s="379" t="s">
        <v>422</v>
      </c>
      <c r="C1675" s="1823" t="s">
        <v>3483</v>
      </c>
      <c r="D1675" s="379" t="s">
        <v>3423</v>
      </c>
      <c r="E1675" s="1168">
        <v>73000</v>
      </c>
      <c r="F1675" s="1168">
        <v>0</v>
      </c>
      <c r="G1675" s="1168">
        <v>0</v>
      </c>
      <c r="H1675" s="1168">
        <v>0</v>
      </c>
    </row>
    <row r="1676" spans="1:8" ht="12.75">
      <c r="A1676" s="1822" t="s">
        <v>423</v>
      </c>
      <c r="B1676" s="379" t="s">
        <v>424</v>
      </c>
      <c r="C1676" s="1823" t="s">
        <v>3485</v>
      </c>
      <c r="D1676" s="379" t="s">
        <v>3423</v>
      </c>
      <c r="E1676" s="1168">
        <v>83000</v>
      </c>
      <c r="F1676" s="1168">
        <v>83000</v>
      </c>
      <c r="G1676" s="1168">
        <v>82997</v>
      </c>
      <c r="H1676" s="1168">
        <v>0</v>
      </c>
    </row>
    <row r="1677" spans="1:8" ht="12.75">
      <c r="A1677" s="1822" t="s">
        <v>425</v>
      </c>
      <c r="B1677" s="379" t="s">
        <v>426</v>
      </c>
      <c r="C1677" s="1823" t="s">
        <v>3464</v>
      </c>
      <c r="D1677" s="379" t="s">
        <v>3422</v>
      </c>
      <c r="E1677" s="1168">
        <v>300000</v>
      </c>
      <c r="F1677" s="1168">
        <v>379000</v>
      </c>
      <c r="G1677" s="1168">
        <v>378787</v>
      </c>
      <c r="H1677" s="1168">
        <v>213</v>
      </c>
    </row>
    <row r="1678" spans="1:8" ht="12.75">
      <c r="A1678" s="1822" t="s">
        <v>427</v>
      </c>
      <c r="B1678" s="379" t="s">
        <v>428</v>
      </c>
      <c r="C1678" s="1823" t="s">
        <v>3464</v>
      </c>
      <c r="D1678" s="379" t="s">
        <v>3422</v>
      </c>
      <c r="E1678" s="1168">
        <v>1800000</v>
      </c>
      <c r="F1678" s="1168">
        <v>300000</v>
      </c>
      <c r="G1678" s="1168">
        <v>299999</v>
      </c>
      <c r="H1678" s="1168">
        <v>1</v>
      </c>
    </row>
    <row r="1679" spans="1:8" ht="12.75">
      <c r="A1679" s="1822" t="s">
        <v>429</v>
      </c>
      <c r="B1679" s="379" t="s">
        <v>430</v>
      </c>
      <c r="C1679" s="1823" t="s">
        <v>3464</v>
      </c>
      <c r="D1679" s="379" t="s">
        <v>3422</v>
      </c>
      <c r="E1679" s="1168">
        <v>510000</v>
      </c>
      <c r="F1679" s="1168">
        <v>396000</v>
      </c>
      <c r="G1679" s="1168">
        <v>394890</v>
      </c>
      <c r="H1679" s="1168">
        <v>1110</v>
      </c>
    </row>
    <row r="1680" spans="1:8" ht="12.75">
      <c r="A1680" s="1822" t="s">
        <v>431</v>
      </c>
      <c r="B1680" s="379" t="s">
        <v>432</v>
      </c>
      <c r="C1680" s="1823" t="s">
        <v>3464</v>
      </c>
      <c r="D1680" s="379" t="s">
        <v>3422</v>
      </c>
      <c r="E1680" s="1168">
        <v>580000</v>
      </c>
      <c r="F1680" s="1168">
        <v>821000</v>
      </c>
      <c r="G1680" s="1168">
        <v>820975</v>
      </c>
      <c r="H1680" s="1168">
        <v>25</v>
      </c>
    </row>
    <row r="1681" spans="1:8" ht="12.75">
      <c r="A1681" s="1822" t="s">
        <v>433</v>
      </c>
      <c r="B1681" s="379" t="s">
        <v>434</v>
      </c>
      <c r="C1681" s="1823" t="s">
        <v>3464</v>
      </c>
      <c r="D1681" s="379" t="s">
        <v>3422</v>
      </c>
      <c r="E1681" s="1168">
        <v>360000</v>
      </c>
      <c r="F1681" s="1168">
        <v>231000</v>
      </c>
      <c r="G1681" s="1168">
        <v>230217</v>
      </c>
      <c r="H1681" s="1168">
        <v>783</v>
      </c>
    </row>
    <row r="1682" spans="1:8" ht="12.75">
      <c r="A1682" s="1822" t="s">
        <v>435</v>
      </c>
      <c r="B1682" s="379" t="s">
        <v>436</v>
      </c>
      <c r="C1682" s="1823" t="s">
        <v>3464</v>
      </c>
      <c r="D1682" s="379" t="s">
        <v>3422</v>
      </c>
      <c r="E1682" s="1168">
        <v>1900000</v>
      </c>
      <c r="F1682" s="1168">
        <v>1993000</v>
      </c>
      <c r="G1682" s="1168">
        <v>1992029</v>
      </c>
      <c r="H1682" s="1168">
        <v>971</v>
      </c>
    </row>
    <row r="1683" spans="1:8" ht="12.75">
      <c r="A1683" s="1822" t="s">
        <v>437</v>
      </c>
      <c r="B1683" s="379" t="s">
        <v>438</v>
      </c>
      <c r="C1683" s="1823" t="s">
        <v>3469</v>
      </c>
      <c r="D1683" s="379" t="s">
        <v>3422</v>
      </c>
      <c r="E1683" s="1168">
        <v>652000</v>
      </c>
      <c r="F1683" s="1168">
        <v>652000</v>
      </c>
      <c r="G1683" s="1168">
        <v>651853</v>
      </c>
      <c r="H1683" s="1168">
        <v>147</v>
      </c>
    </row>
    <row r="1684" spans="1:8" ht="12.75">
      <c r="A1684" s="1822" t="s">
        <v>439</v>
      </c>
      <c r="B1684" s="379" t="s">
        <v>440</v>
      </c>
      <c r="C1684" s="1823" t="s">
        <v>3471</v>
      </c>
      <c r="D1684" s="379" t="s">
        <v>3422</v>
      </c>
      <c r="E1684" s="1168">
        <v>707000</v>
      </c>
      <c r="F1684" s="1168">
        <v>681000</v>
      </c>
      <c r="G1684" s="1168">
        <v>679966</v>
      </c>
      <c r="H1684" s="1168">
        <v>1034</v>
      </c>
    </row>
    <row r="1685" spans="1:8" ht="12.75">
      <c r="A1685" s="1822" t="s">
        <v>441</v>
      </c>
      <c r="B1685" s="379" t="s">
        <v>442</v>
      </c>
      <c r="C1685" s="1823" t="s">
        <v>3471</v>
      </c>
      <c r="D1685" s="379" t="s">
        <v>3422</v>
      </c>
      <c r="E1685" s="1168">
        <v>1688000</v>
      </c>
      <c r="F1685" s="1168">
        <v>2108000</v>
      </c>
      <c r="G1685" s="1168">
        <v>95883.9</v>
      </c>
      <c r="H1685" s="1168">
        <v>2012116.1</v>
      </c>
    </row>
    <row r="1686" spans="1:8" ht="12.75">
      <c r="A1686" s="1822">
        <v>2142194028</v>
      </c>
      <c r="B1686" s="379" t="s">
        <v>443</v>
      </c>
      <c r="C1686" s="1823" t="s">
        <v>3473</v>
      </c>
      <c r="D1686" s="379" t="s">
        <v>3422</v>
      </c>
      <c r="E1686" s="1168">
        <v>3200000</v>
      </c>
      <c r="F1686" s="1168">
        <v>0</v>
      </c>
      <c r="G1686" s="1168">
        <v>0</v>
      </c>
      <c r="H1686" s="1168">
        <v>0</v>
      </c>
    </row>
    <row r="1687" spans="1:8" ht="12.75">
      <c r="A1687" s="1822" t="s">
        <v>444</v>
      </c>
      <c r="B1687" s="379" t="s">
        <v>445</v>
      </c>
      <c r="C1687" s="1823" t="s">
        <v>3477</v>
      </c>
      <c r="D1687" s="379" t="s">
        <v>3422</v>
      </c>
      <c r="E1687" s="1168">
        <v>400000</v>
      </c>
      <c r="F1687" s="1168">
        <v>498000</v>
      </c>
      <c r="G1687" s="1168">
        <v>497138</v>
      </c>
      <c r="H1687" s="1168">
        <v>862</v>
      </c>
    </row>
    <row r="1688" spans="1:8" ht="12.75">
      <c r="A1688" s="1822" t="s">
        <v>446</v>
      </c>
      <c r="B1688" s="379" t="s">
        <v>447</v>
      </c>
      <c r="C1688" s="1823" t="s">
        <v>3479</v>
      </c>
      <c r="D1688" s="379" t="s">
        <v>3422</v>
      </c>
      <c r="E1688" s="1168">
        <v>3350000</v>
      </c>
      <c r="F1688" s="1168">
        <v>3148000</v>
      </c>
      <c r="G1688" s="1168">
        <v>3147820.4</v>
      </c>
      <c r="H1688" s="1168">
        <v>0</v>
      </c>
    </row>
    <row r="1689" spans="1:8" ht="12.75">
      <c r="A1689" s="1822" t="s">
        <v>448</v>
      </c>
      <c r="B1689" s="379" t="s">
        <v>449</v>
      </c>
      <c r="C1689" s="1823" t="s">
        <v>3479</v>
      </c>
      <c r="D1689" s="379" t="s">
        <v>3422</v>
      </c>
      <c r="E1689" s="1168">
        <v>1250000</v>
      </c>
      <c r="F1689" s="1168">
        <v>1197000</v>
      </c>
      <c r="G1689" s="1168">
        <v>1195326.2</v>
      </c>
      <c r="H1689" s="1168">
        <v>0</v>
      </c>
    </row>
    <row r="1690" spans="1:8" ht="12.75">
      <c r="A1690" s="1822" t="s">
        <v>450</v>
      </c>
      <c r="B1690" s="379" t="s">
        <v>451</v>
      </c>
      <c r="C1690" s="1823" t="s">
        <v>3487</v>
      </c>
      <c r="D1690" s="379" t="s">
        <v>3422</v>
      </c>
      <c r="E1690" s="1168">
        <v>595000</v>
      </c>
      <c r="F1690" s="1168">
        <v>595000</v>
      </c>
      <c r="G1690" s="1168">
        <v>594231</v>
      </c>
      <c r="H1690" s="1168">
        <v>769</v>
      </c>
    </row>
    <row r="1691" spans="1:8" ht="12.75">
      <c r="A1691" s="1822" t="s">
        <v>452</v>
      </c>
      <c r="B1691" s="379" t="s">
        <v>453</v>
      </c>
      <c r="C1691" s="1823" t="s">
        <v>3487</v>
      </c>
      <c r="D1691" s="379" t="s">
        <v>3422</v>
      </c>
      <c r="E1691" s="1168">
        <v>288000</v>
      </c>
      <c r="F1691" s="1168">
        <v>284000</v>
      </c>
      <c r="G1691" s="1168">
        <v>283816</v>
      </c>
      <c r="H1691" s="1168">
        <v>184</v>
      </c>
    </row>
    <row r="1692" spans="1:8" ht="12.75">
      <c r="A1692" s="1822">
        <v>2142194034</v>
      </c>
      <c r="B1692" s="379" t="s">
        <v>454</v>
      </c>
      <c r="C1692" s="1823" t="s">
        <v>3483</v>
      </c>
      <c r="D1692" s="379" t="s">
        <v>3422</v>
      </c>
      <c r="E1692" s="1168">
        <v>900000</v>
      </c>
      <c r="F1692" s="1168">
        <v>0</v>
      </c>
      <c r="G1692" s="1168">
        <v>0</v>
      </c>
      <c r="H1692" s="1168">
        <v>0</v>
      </c>
    </row>
    <row r="1693" spans="1:8" ht="12.75">
      <c r="A1693" s="1822" t="s">
        <v>455</v>
      </c>
      <c r="B1693" s="379" t="s">
        <v>456</v>
      </c>
      <c r="C1693" s="1823" t="s">
        <v>3483</v>
      </c>
      <c r="D1693" s="379" t="s">
        <v>3422</v>
      </c>
      <c r="E1693" s="1168">
        <v>5350000</v>
      </c>
      <c r="F1693" s="1168">
        <v>6829000</v>
      </c>
      <c r="G1693" s="1168">
        <v>6828623</v>
      </c>
      <c r="H1693" s="1168">
        <v>377</v>
      </c>
    </row>
    <row r="1694" spans="1:8" ht="12.75">
      <c r="A1694" s="1822" t="s">
        <v>457</v>
      </c>
      <c r="B1694" s="379" t="s">
        <v>458</v>
      </c>
      <c r="C1694" s="1823" t="s">
        <v>3485</v>
      </c>
      <c r="D1694" s="379" t="s">
        <v>3422</v>
      </c>
      <c r="E1694" s="1168">
        <v>909000</v>
      </c>
      <c r="F1694" s="1168">
        <v>909000</v>
      </c>
      <c r="G1694" s="1168">
        <v>908359</v>
      </c>
      <c r="H1694" s="1168">
        <v>641</v>
      </c>
    </row>
    <row r="1695" spans="1:8" ht="12.75">
      <c r="A1695" s="1822" t="s">
        <v>459</v>
      </c>
      <c r="B1695" s="379" t="s">
        <v>460</v>
      </c>
      <c r="C1695" s="1823" t="s">
        <v>3461</v>
      </c>
      <c r="D1695" s="379" t="s">
        <v>3422</v>
      </c>
      <c r="E1695" s="1168">
        <v>630000</v>
      </c>
      <c r="F1695" s="1168">
        <v>594000</v>
      </c>
      <c r="G1695" s="1168">
        <v>593691</v>
      </c>
      <c r="H1695" s="1168">
        <v>0</v>
      </c>
    </row>
    <row r="1696" spans="1:8" ht="12.75">
      <c r="A1696" s="1822" t="s">
        <v>461</v>
      </c>
      <c r="B1696" s="379" t="s">
        <v>462</v>
      </c>
      <c r="C1696" s="1823" t="s">
        <v>3487</v>
      </c>
      <c r="D1696" s="379" t="s">
        <v>3423</v>
      </c>
      <c r="E1696" s="1168">
        <v>0</v>
      </c>
      <c r="F1696" s="1168">
        <v>97000</v>
      </c>
      <c r="G1696" s="1168">
        <v>96390</v>
      </c>
      <c r="H1696" s="1168">
        <v>610</v>
      </c>
    </row>
    <row r="1697" spans="1:8" ht="12.75">
      <c r="A1697" s="1822" t="s">
        <v>463</v>
      </c>
      <c r="B1697" s="379" t="s">
        <v>464</v>
      </c>
      <c r="C1697" s="1823" t="s">
        <v>3464</v>
      </c>
      <c r="D1697" s="379" t="s">
        <v>3422</v>
      </c>
      <c r="E1697" s="1168">
        <v>0</v>
      </c>
      <c r="F1697" s="1168">
        <v>890000</v>
      </c>
      <c r="G1697" s="1168">
        <v>889956</v>
      </c>
      <c r="H1697" s="1168">
        <v>44</v>
      </c>
    </row>
    <row r="1698" spans="1:8" ht="12.75">
      <c r="A1698" s="1822" t="s">
        <v>465</v>
      </c>
      <c r="B1698" s="379" t="s">
        <v>466</v>
      </c>
      <c r="C1698" s="1823" t="s">
        <v>3464</v>
      </c>
      <c r="D1698" s="379" t="s">
        <v>3422</v>
      </c>
      <c r="E1698" s="1168">
        <v>0</v>
      </c>
      <c r="F1698" s="1168">
        <v>2333000</v>
      </c>
      <c r="G1698" s="1168">
        <v>2332400</v>
      </c>
      <c r="H1698" s="1168">
        <v>600</v>
      </c>
    </row>
    <row r="1699" spans="1:8" ht="12.75">
      <c r="A1699" s="1822" t="s">
        <v>467</v>
      </c>
      <c r="B1699" s="379" t="s">
        <v>468</v>
      </c>
      <c r="C1699" s="1823" t="s">
        <v>3481</v>
      </c>
      <c r="D1699" s="379" t="s">
        <v>3422</v>
      </c>
      <c r="E1699" s="1168">
        <v>0</v>
      </c>
      <c r="F1699" s="1168">
        <v>913000</v>
      </c>
      <c r="G1699" s="1168">
        <v>912064</v>
      </c>
      <c r="H1699" s="1168">
        <v>936</v>
      </c>
    </row>
    <row r="1700" spans="1:8" s="174" customFormat="1" ht="12.75">
      <c r="A1700" s="1824" t="s">
        <v>469</v>
      </c>
      <c r="B1700" s="1825"/>
      <c r="C1700" s="1825"/>
      <c r="D1700" s="1826"/>
      <c r="E1700" s="1821">
        <v>33561000</v>
      </c>
      <c r="F1700" s="1821">
        <v>38600000</v>
      </c>
      <c r="G1700" s="1821">
        <v>35154933.32</v>
      </c>
      <c r="H1700" s="1821">
        <v>3442901.28</v>
      </c>
    </row>
    <row r="1701" spans="1:8" s="174" customFormat="1" ht="12.75">
      <c r="A1701" s="1824" t="s">
        <v>470</v>
      </c>
      <c r="B1701" s="1825"/>
      <c r="C1701" s="1825"/>
      <c r="D1701" s="1826"/>
      <c r="E1701" s="1821">
        <f>SUM(E1326,E1377,E1592,E1647,E1655,E1657,E1700)</f>
        <v>625034000</v>
      </c>
      <c r="F1701" s="1821">
        <f>SUM(F1326,F1377,F1592,F1647,F1655,F1657,F1700)</f>
        <v>766963000</v>
      </c>
      <c r="G1701" s="1821">
        <f>SUM(G1326,G1377,G1592,G1647,G1655,G1657,G1700)</f>
        <v>699521834.3199999</v>
      </c>
      <c r="H1701" s="1821">
        <f>SUM(H1326,H1377,H1592,H1647,H1655,H1657,H1700)</f>
        <v>112459118.08</v>
      </c>
    </row>
    <row r="1702" spans="1:8" ht="12.75">
      <c r="A1702" s="1822" t="s">
        <v>471</v>
      </c>
      <c r="B1702" s="379" t="s">
        <v>472</v>
      </c>
      <c r="C1702" s="1823" t="s">
        <v>2643</v>
      </c>
      <c r="D1702" s="379" t="s">
        <v>3423</v>
      </c>
      <c r="E1702" s="1168">
        <v>0</v>
      </c>
      <c r="F1702" s="1168">
        <v>1925000</v>
      </c>
      <c r="G1702" s="1168">
        <v>237945.9</v>
      </c>
      <c r="H1702" s="1168">
        <v>643554.1</v>
      </c>
    </row>
    <row r="1703" spans="1:8" ht="12.75">
      <c r="A1703" s="1822" t="s">
        <v>471</v>
      </c>
      <c r="B1703" s="379" t="s">
        <v>473</v>
      </c>
      <c r="C1703" s="1823" t="s">
        <v>2643</v>
      </c>
      <c r="D1703" s="379" t="s">
        <v>3423</v>
      </c>
      <c r="E1703" s="1168">
        <v>0</v>
      </c>
      <c r="F1703" s="1168">
        <v>0</v>
      </c>
      <c r="G1703" s="1168">
        <v>1043500</v>
      </c>
      <c r="H1703" s="1168">
        <v>0</v>
      </c>
    </row>
    <row r="1704" spans="1:8" ht="12.75">
      <c r="A1704" s="1822" t="s">
        <v>474</v>
      </c>
      <c r="B1704" s="379" t="s">
        <v>475</v>
      </c>
      <c r="C1704" s="1823" t="s">
        <v>2643</v>
      </c>
      <c r="D1704" s="379" t="s">
        <v>3423</v>
      </c>
      <c r="E1704" s="1168">
        <v>0</v>
      </c>
      <c r="F1704" s="1168">
        <v>17400000</v>
      </c>
      <c r="G1704" s="1168">
        <v>5272276.1</v>
      </c>
      <c r="H1704" s="1168">
        <v>4658771.9</v>
      </c>
    </row>
    <row r="1705" spans="1:8" ht="12.75">
      <c r="A1705" s="1822" t="s">
        <v>474</v>
      </c>
      <c r="B1705" s="379" t="s">
        <v>476</v>
      </c>
      <c r="C1705" s="1823" t="s">
        <v>2643</v>
      </c>
      <c r="D1705" s="379" t="s">
        <v>3423</v>
      </c>
      <c r="E1705" s="1168">
        <v>0</v>
      </c>
      <c r="F1705" s="1168">
        <v>0</v>
      </c>
      <c r="G1705" s="1168">
        <v>7468952</v>
      </c>
      <c r="H1705" s="1168">
        <v>0</v>
      </c>
    </row>
    <row r="1706" spans="1:8" ht="12.75">
      <c r="A1706" s="1822" t="s">
        <v>477</v>
      </c>
      <c r="B1706" s="379" t="s">
        <v>478</v>
      </c>
      <c r="C1706" s="1823" t="s">
        <v>2643</v>
      </c>
      <c r="D1706" s="379" t="s">
        <v>3422</v>
      </c>
      <c r="E1706" s="1168">
        <v>0</v>
      </c>
      <c r="F1706" s="1168">
        <v>802000</v>
      </c>
      <c r="G1706" s="1168">
        <v>0</v>
      </c>
      <c r="H1706" s="1168">
        <v>802000</v>
      </c>
    </row>
    <row r="1707" spans="1:8" ht="12.75">
      <c r="A1707" s="1822" t="s">
        <v>479</v>
      </c>
      <c r="B1707" s="379" t="s">
        <v>480</v>
      </c>
      <c r="C1707" s="1823" t="s">
        <v>2643</v>
      </c>
      <c r="D1707" s="379" t="s">
        <v>3423</v>
      </c>
      <c r="E1707" s="1168">
        <v>0</v>
      </c>
      <c r="F1707" s="1168">
        <v>10000000</v>
      </c>
      <c r="G1707" s="1168">
        <v>0</v>
      </c>
      <c r="H1707" s="1168">
        <v>2677452</v>
      </c>
    </row>
    <row r="1708" spans="1:8" ht="12.75">
      <c r="A1708" s="1822" t="s">
        <v>479</v>
      </c>
      <c r="B1708" s="379" t="s">
        <v>481</v>
      </c>
      <c r="C1708" s="1823" t="s">
        <v>2643</v>
      </c>
      <c r="D1708" s="379" t="s">
        <v>3423</v>
      </c>
      <c r="E1708" s="1168">
        <v>0</v>
      </c>
      <c r="F1708" s="1168">
        <v>0</v>
      </c>
      <c r="G1708" s="1168">
        <v>7322548</v>
      </c>
      <c r="H1708" s="1168">
        <v>0</v>
      </c>
    </row>
    <row r="1709" spans="1:8" ht="12.75">
      <c r="A1709" s="1822" t="s">
        <v>482</v>
      </c>
      <c r="B1709" s="379" t="s">
        <v>483</v>
      </c>
      <c r="C1709" s="1823" t="s">
        <v>2643</v>
      </c>
      <c r="D1709" s="379" t="s">
        <v>3422</v>
      </c>
      <c r="E1709" s="1168">
        <v>0</v>
      </c>
      <c r="F1709" s="1168">
        <v>30162000</v>
      </c>
      <c r="G1709" s="1168">
        <v>0</v>
      </c>
      <c r="H1709" s="1168">
        <v>30162000</v>
      </c>
    </row>
    <row r="1710" spans="1:8" ht="12.75">
      <c r="A1710" s="1822" t="s">
        <v>484</v>
      </c>
      <c r="B1710" s="379" t="s">
        <v>485</v>
      </c>
      <c r="C1710" s="1823" t="s">
        <v>2643</v>
      </c>
      <c r="D1710" s="379" t="s">
        <v>3422</v>
      </c>
      <c r="E1710" s="1168">
        <v>0</v>
      </c>
      <c r="F1710" s="1168">
        <v>21956000</v>
      </c>
      <c r="G1710" s="1168">
        <v>11835113</v>
      </c>
      <c r="H1710" s="1168">
        <v>10120887</v>
      </c>
    </row>
    <row r="1711" spans="1:8" ht="12.75">
      <c r="A1711" s="1822" t="s">
        <v>486</v>
      </c>
      <c r="B1711" s="379" t="s">
        <v>487</v>
      </c>
      <c r="C1711" s="1823" t="s">
        <v>2643</v>
      </c>
      <c r="D1711" s="379" t="s">
        <v>3422</v>
      </c>
      <c r="E1711" s="1168">
        <v>0</v>
      </c>
      <c r="F1711" s="1168">
        <v>2000000</v>
      </c>
      <c r="G1711" s="1168">
        <v>0</v>
      </c>
      <c r="H1711" s="1168">
        <v>2000000</v>
      </c>
    </row>
    <row r="1712" spans="1:8" ht="12.75">
      <c r="A1712" s="1822" t="s">
        <v>488</v>
      </c>
      <c r="B1712" s="379" t="s">
        <v>489</v>
      </c>
      <c r="C1712" s="1823" t="s">
        <v>2643</v>
      </c>
      <c r="D1712" s="379" t="s">
        <v>3423</v>
      </c>
      <c r="E1712" s="1168">
        <v>1961000</v>
      </c>
      <c r="F1712" s="1168">
        <v>1961000</v>
      </c>
      <c r="G1712" s="1168">
        <v>0</v>
      </c>
      <c r="H1712" s="1168">
        <v>1961000</v>
      </c>
    </row>
    <row r="1713" spans="1:8" ht="12.75">
      <c r="A1713" s="1822" t="s">
        <v>490</v>
      </c>
      <c r="B1713" s="379" t="s">
        <v>491</v>
      </c>
      <c r="C1713" s="1823" t="s">
        <v>2643</v>
      </c>
      <c r="D1713" s="379" t="s">
        <v>3423</v>
      </c>
      <c r="E1713" s="1168">
        <v>3000000</v>
      </c>
      <c r="F1713" s="1168">
        <v>3000000</v>
      </c>
      <c r="G1713" s="1168">
        <v>0</v>
      </c>
      <c r="H1713" s="1168">
        <v>3000000</v>
      </c>
    </row>
    <row r="1714" spans="1:8" ht="12.75">
      <c r="A1714" s="1822" t="s">
        <v>492</v>
      </c>
      <c r="B1714" s="379" t="s">
        <v>493</v>
      </c>
      <c r="C1714" s="1823" t="s">
        <v>2643</v>
      </c>
      <c r="D1714" s="379" t="s">
        <v>3422</v>
      </c>
      <c r="E1714" s="1168">
        <v>0</v>
      </c>
      <c r="F1714" s="1168">
        <v>25205000</v>
      </c>
      <c r="G1714" s="1168">
        <v>0</v>
      </c>
      <c r="H1714" s="1168">
        <v>25205000</v>
      </c>
    </row>
    <row r="1715" spans="1:8" ht="12.75">
      <c r="A1715" s="1822" t="s">
        <v>492</v>
      </c>
      <c r="B1715" s="379" t="s">
        <v>493</v>
      </c>
      <c r="C1715" s="1823" t="s">
        <v>2643</v>
      </c>
      <c r="D1715" s="379" t="s">
        <v>3423</v>
      </c>
      <c r="E1715" s="1168">
        <v>0</v>
      </c>
      <c r="F1715" s="1168">
        <v>165000</v>
      </c>
      <c r="G1715" s="1168">
        <v>0</v>
      </c>
      <c r="H1715" s="1168">
        <v>165000</v>
      </c>
    </row>
    <row r="1716" spans="1:8" s="174" customFormat="1" ht="12.75">
      <c r="A1716" s="1824" t="s">
        <v>494</v>
      </c>
      <c r="B1716" s="1825"/>
      <c r="C1716" s="1825"/>
      <c r="D1716" s="1826"/>
      <c r="E1716" s="1821">
        <v>4961000</v>
      </c>
      <c r="F1716" s="1821">
        <v>114576000</v>
      </c>
      <c r="G1716" s="1821">
        <v>33180335</v>
      </c>
      <c r="H1716" s="1821">
        <v>81395665</v>
      </c>
    </row>
    <row r="1717" spans="1:8" ht="12.75">
      <c r="A1717" s="1822" t="s">
        <v>495</v>
      </c>
      <c r="B1717" s="379" t="s">
        <v>496</v>
      </c>
      <c r="C1717" s="1823" t="s">
        <v>2558</v>
      </c>
      <c r="D1717" s="379" t="s">
        <v>3422</v>
      </c>
      <c r="E1717" s="1168">
        <v>233000000</v>
      </c>
      <c r="F1717" s="1168">
        <v>528139000</v>
      </c>
      <c r="G1717" s="1168">
        <v>528127343.2</v>
      </c>
      <c r="H1717" s="1168">
        <v>11656.8</v>
      </c>
    </row>
    <row r="1718" spans="1:8" ht="12.75">
      <c r="A1718" s="1822" t="s">
        <v>495</v>
      </c>
      <c r="B1718" s="379" t="s">
        <v>496</v>
      </c>
      <c r="C1718" s="1823" t="s">
        <v>2558</v>
      </c>
      <c r="D1718" s="379" t="s">
        <v>3423</v>
      </c>
      <c r="E1718" s="1168">
        <v>0</v>
      </c>
      <c r="F1718" s="1168">
        <v>2620000</v>
      </c>
      <c r="G1718" s="1168">
        <v>2619095</v>
      </c>
      <c r="H1718" s="1168">
        <v>905</v>
      </c>
    </row>
    <row r="1719" spans="1:8" ht="12.75">
      <c r="A1719" s="1822" t="s">
        <v>497</v>
      </c>
      <c r="B1719" s="379" t="s">
        <v>498</v>
      </c>
      <c r="C1719" s="1823" t="s">
        <v>499</v>
      </c>
      <c r="D1719" s="379" t="s">
        <v>3422</v>
      </c>
      <c r="E1719" s="1168">
        <v>0</v>
      </c>
      <c r="F1719" s="1168">
        <v>30008000</v>
      </c>
      <c r="G1719" s="1168">
        <v>30008000</v>
      </c>
      <c r="H1719" s="1168">
        <v>0</v>
      </c>
    </row>
    <row r="1720" spans="1:8" ht="12.75">
      <c r="A1720" s="1822" t="s">
        <v>500</v>
      </c>
      <c r="B1720" s="379" t="s">
        <v>501</v>
      </c>
      <c r="C1720" s="1823" t="s">
        <v>502</v>
      </c>
      <c r="D1720" s="379" t="s">
        <v>3422</v>
      </c>
      <c r="E1720" s="1168">
        <v>0</v>
      </c>
      <c r="F1720" s="1168">
        <v>2098000</v>
      </c>
      <c r="G1720" s="1168">
        <v>2096996</v>
      </c>
      <c r="H1720" s="1168">
        <v>1004</v>
      </c>
    </row>
    <row r="1721" spans="1:8" s="174" customFormat="1" ht="12.75">
      <c r="A1721" s="1824" t="s">
        <v>503</v>
      </c>
      <c r="B1721" s="1825"/>
      <c r="C1721" s="1825"/>
      <c r="D1721" s="1826"/>
      <c r="E1721" s="1821">
        <v>233000000</v>
      </c>
      <c r="F1721" s="1821">
        <v>562865000</v>
      </c>
      <c r="G1721" s="1821">
        <v>562851434.2</v>
      </c>
      <c r="H1721" s="1821">
        <v>13565.8</v>
      </c>
    </row>
    <row r="1722" spans="1:8" s="174" customFormat="1" ht="12.75">
      <c r="A1722" s="1824" t="s">
        <v>504</v>
      </c>
      <c r="B1722" s="1825"/>
      <c r="C1722" s="1825"/>
      <c r="D1722" s="1826"/>
      <c r="E1722" s="1821">
        <f>SUM(E1716,E1721)</f>
        <v>237961000</v>
      </c>
      <c r="F1722" s="1821">
        <f>SUM(F1716,F1721)</f>
        <v>677441000</v>
      </c>
      <c r="G1722" s="1821">
        <f>SUM(G1716,G1721)</f>
        <v>596031769.2</v>
      </c>
      <c r="H1722" s="1821">
        <f>SUM(H1716,H1721)</f>
        <v>81409230.8</v>
      </c>
    </row>
    <row r="1723" spans="1:8" ht="12.75">
      <c r="A1723" s="1822">
        <v>2145114001</v>
      </c>
      <c r="B1723" s="379" t="s">
        <v>505</v>
      </c>
      <c r="C1723" s="1823" t="s">
        <v>2643</v>
      </c>
      <c r="D1723" s="379" t="s">
        <v>3422</v>
      </c>
      <c r="E1723" s="1168">
        <v>0</v>
      </c>
      <c r="F1723" s="1168">
        <v>33197000</v>
      </c>
      <c r="G1723" s="1168">
        <v>26626658.64</v>
      </c>
      <c r="H1723" s="1168">
        <v>6570341.36</v>
      </c>
    </row>
    <row r="1724" spans="1:8" ht="12.75">
      <c r="A1724" s="1822" t="s">
        <v>506</v>
      </c>
      <c r="B1724" s="379" t="s">
        <v>505</v>
      </c>
      <c r="C1724" s="1823" t="s">
        <v>2643</v>
      </c>
      <c r="D1724" s="379" t="s">
        <v>3423</v>
      </c>
      <c r="E1724" s="1168">
        <v>0</v>
      </c>
      <c r="F1724" s="1168">
        <v>803000</v>
      </c>
      <c r="G1724" s="1168">
        <v>800859.6</v>
      </c>
      <c r="H1724" s="1168">
        <v>2140.4</v>
      </c>
    </row>
    <row r="1725" spans="1:8" s="174" customFormat="1" ht="12.75">
      <c r="A1725" s="1824" t="s">
        <v>507</v>
      </c>
      <c r="B1725" s="1825"/>
      <c r="C1725" s="1825"/>
      <c r="D1725" s="1826"/>
      <c r="E1725" s="1821">
        <v>0</v>
      </c>
      <c r="F1725" s="1821">
        <v>34000000</v>
      </c>
      <c r="G1725" s="1821">
        <v>27427518.24</v>
      </c>
      <c r="H1725" s="1821">
        <v>6572481.76</v>
      </c>
    </row>
    <row r="1726" spans="1:8" s="174" customFormat="1" ht="12.75">
      <c r="A1726" s="1824" t="s">
        <v>508</v>
      </c>
      <c r="B1726" s="1825"/>
      <c r="C1726" s="1825"/>
      <c r="D1726" s="1826"/>
      <c r="E1726" s="1821">
        <f>SUM(E1725)</f>
        <v>0</v>
      </c>
      <c r="F1726" s="1821">
        <f>SUM(F1725)</f>
        <v>34000000</v>
      </c>
      <c r="G1726" s="1821">
        <f>SUM(G1725)</f>
        <v>27427518.24</v>
      </c>
      <c r="H1726" s="1821">
        <f>SUM(H1725)</f>
        <v>6572481.76</v>
      </c>
    </row>
    <row r="1727" spans="1:8" ht="12.75">
      <c r="A1727" s="1822" t="s">
        <v>509</v>
      </c>
      <c r="B1727" s="379" t="s">
        <v>510</v>
      </c>
      <c r="C1727" s="1823" t="s">
        <v>511</v>
      </c>
      <c r="D1727" s="379" t="s">
        <v>3422</v>
      </c>
      <c r="E1727" s="1168">
        <v>0</v>
      </c>
      <c r="F1727" s="1168">
        <v>50000</v>
      </c>
      <c r="G1727" s="1168">
        <v>50000</v>
      </c>
      <c r="H1727" s="1168">
        <v>0</v>
      </c>
    </row>
    <row r="1728" spans="1:8" s="174" customFormat="1" ht="12.75">
      <c r="A1728" s="1824" t="s">
        <v>512</v>
      </c>
      <c r="B1728" s="1825"/>
      <c r="C1728" s="1825"/>
      <c r="D1728" s="1826"/>
      <c r="E1728" s="1821">
        <v>0</v>
      </c>
      <c r="F1728" s="1821">
        <v>50000</v>
      </c>
      <c r="G1728" s="1821">
        <v>50000</v>
      </c>
      <c r="H1728" s="1821">
        <v>0</v>
      </c>
    </row>
    <row r="1729" spans="1:8" s="174" customFormat="1" ht="12.75">
      <c r="A1729" s="1824" t="s">
        <v>513</v>
      </c>
      <c r="B1729" s="1825"/>
      <c r="C1729" s="1825"/>
      <c r="D1729" s="1826"/>
      <c r="E1729" s="1821">
        <f>SUM(E1728)</f>
        <v>0</v>
      </c>
      <c r="F1729" s="1821">
        <f>SUM(F1728)</f>
        <v>50000</v>
      </c>
      <c r="G1729" s="1821">
        <f>SUM(G1728)</f>
        <v>50000</v>
      </c>
      <c r="H1729" s="1821">
        <f>SUM(H1728)</f>
        <v>0</v>
      </c>
    </row>
    <row r="1730" spans="1:8" ht="12.75">
      <c r="A1730" s="1822" t="s">
        <v>514</v>
      </c>
      <c r="B1730" s="379" t="s">
        <v>515</v>
      </c>
      <c r="C1730" s="1823" t="s">
        <v>3503</v>
      </c>
      <c r="D1730" s="379" t="s">
        <v>3422</v>
      </c>
      <c r="E1730" s="1168">
        <v>4743000</v>
      </c>
      <c r="F1730" s="1168">
        <v>19912000</v>
      </c>
      <c r="G1730" s="1168">
        <v>18902279.9</v>
      </c>
      <c r="H1730" s="1168">
        <v>1009720.1</v>
      </c>
    </row>
    <row r="1731" spans="1:8" ht="12.75">
      <c r="A1731" s="1822">
        <v>3141210006</v>
      </c>
      <c r="B1731" s="379" t="s">
        <v>516</v>
      </c>
      <c r="C1731" s="1823" t="s">
        <v>3503</v>
      </c>
      <c r="D1731" s="379" t="s">
        <v>3422</v>
      </c>
      <c r="E1731" s="1168">
        <v>7873000</v>
      </c>
      <c r="F1731" s="1168">
        <v>18242000</v>
      </c>
      <c r="G1731" s="1168">
        <v>16620454.1</v>
      </c>
      <c r="H1731" s="1168">
        <v>1621545.9</v>
      </c>
    </row>
    <row r="1732" spans="1:8" s="174" customFormat="1" ht="12.75">
      <c r="A1732" s="1824" t="s">
        <v>517</v>
      </c>
      <c r="B1732" s="1825"/>
      <c r="C1732" s="1825"/>
      <c r="D1732" s="1826"/>
      <c r="E1732" s="1821">
        <v>12616000</v>
      </c>
      <c r="F1732" s="1821">
        <v>38154000</v>
      </c>
      <c r="G1732" s="1821">
        <v>35522734</v>
      </c>
      <c r="H1732" s="1821">
        <v>2631266</v>
      </c>
    </row>
    <row r="1733" spans="1:8" ht="12.75">
      <c r="A1733" s="1822" t="s">
        <v>518</v>
      </c>
      <c r="B1733" s="379" t="s">
        <v>515</v>
      </c>
      <c r="C1733" s="1823" t="s">
        <v>3503</v>
      </c>
      <c r="D1733" s="379" t="s">
        <v>3422</v>
      </c>
      <c r="E1733" s="1168">
        <v>0</v>
      </c>
      <c r="F1733" s="1168">
        <v>316000</v>
      </c>
      <c r="G1733" s="1168">
        <v>291904.7</v>
      </c>
      <c r="H1733" s="1168">
        <v>24095.3</v>
      </c>
    </row>
    <row r="1734" spans="1:8" s="174" customFormat="1" ht="12.75">
      <c r="A1734" s="1824" t="s">
        <v>519</v>
      </c>
      <c r="B1734" s="1825"/>
      <c r="C1734" s="1825"/>
      <c r="D1734" s="1826"/>
      <c r="E1734" s="1821">
        <v>0</v>
      </c>
      <c r="F1734" s="1821">
        <v>316000</v>
      </c>
      <c r="G1734" s="1821">
        <v>291904.7</v>
      </c>
      <c r="H1734" s="1821">
        <v>24095.3</v>
      </c>
    </row>
    <row r="1735" spans="1:8" ht="12.75">
      <c r="A1735" s="1822" t="s">
        <v>520</v>
      </c>
      <c r="B1735" s="379" t="s">
        <v>521</v>
      </c>
      <c r="C1735" s="1823" t="s">
        <v>3503</v>
      </c>
      <c r="D1735" s="379" t="s">
        <v>3422</v>
      </c>
      <c r="E1735" s="1168">
        <v>0</v>
      </c>
      <c r="F1735" s="1168">
        <v>600000</v>
      </c>
      <c r="G1735" s="1168">
        <v>15815</v>
      </c>
      <c r="H1735" s="1168">
        <v>584185</v>
      </c>
    </row>
    <row r="1736" spans="1:8" ht="12.75">
      <c r="A1736" s="1822" t="s">
        <v>522</v>
      </c>
      <c r="B1736" s="379" t="s">
        <v>515</v>
      </c>
      <c r="C1736" s="1823" t="s">
        <v>3503</v>
      </c>
      <c r="D1736" s="379" t="s">
        <v>3422</v>
      </c>
      <c r="E1736" s="1168">
        <v>9864000</v>
      </c>
      <c r="F1736" s="1168">
        <v>22273000</v>
      </c>
      <c r="G1736" s="1168">
        <v>20880017.6</v>
      </c>
      <c r="H1736" s="1168">
        <v>1392982.4</v>
      </c>
    </row>
    <row r="1737" spans="1:8" ht="12.75">
      <c r="A1737" s="1822" t="s">
        <v>523</v>
      </c>
      <c r="B1737" s="379" t="s">
        <v>516</v>
      </c>
      <c r="C1737" s="1823" t="s">
        <v>3503</v>
      </c>
      <c r="D1737" s="379" t="s">
        <v>3422</v>
      </c>
      <c r="E1737" s="1168">
        <v>4712000</v>
      </c>
      <c r="F1737" s="1168">
        <v>33810000</v>
      </c>
      <c r="G1737" s="1168">
        <v>31306730</v>
      </c>
      <c r="H1737" s="1168">
        <v>2503270</v>
      </c>
    </row>
    <row r="1738" spans="1:8" s="174" customFormat="1" ht="12.75">
      <c r="A1738" s="1824" t="s">
        <v>524</v>
      </c>
      <c r="B1738" s="1825"/>
      <c r="C1738" s="1825"/>
      <c r="D1738" s="1826"/>
      <c r="E1738" s="1821">
        <v>14576000</v>
      </c>
      <c r="F1738" s="1821">
        <v>56683000</v>
      </c>
      <c r="G1738" s="1821">
        <v>52202562.6</v>
      </c>
      <c r="H1738" s="1821">
        <v>4480437.4</v>
      </c>
    </row>
    <row r="1739" spans="1:8" ht="12.75">
      <c r="A1739" s="1822" t="s">
        <v>525</v>
      </c>
      <c r="B1739" s="379" t="s">
        <v>526</v>
      </c>
      <c r="C1739" s="1823" t="s">
        <v>3503</v>
      </c>
      <c r="D1739" s="379" t="s">
        <v>3422</v>
      </c>
      <c r="E1739" s="1168">
        <v>0</v>
      </c>
      <c r="F1739" s="1168">
        <v>400000</v>
      </c>
      <c r="G1739" s="1168">
        <v>98243.9</v>
      </c>
      <c r="H1739" s="1168">
        <v>301756.1</v>
      </c>
    </row>
    <row r="1740" spans="1:8" ht="12.75">
      <c r="A1740" s="1822" t="s">
        <v>527</v>
      </c>
      <c r="B1740" s="379" t="s">
        <v>515</v>
      </c>
      <c r="C1740" s="1823" t="s">
        <v>3503</v>
      </c>
      <c r="D1740" s="379" t="s">
        <v>3422</v>
      </c>
      <c r="E1740" s="1168">
        <v>14573000</v>
      </c>
      <c r="F1740" s="1168">
        <v>50216000</v>
      </c>
      <c r="G1740" s="1168">
        <v>46564122.9</v>
      </c>
      <c r="H1740" s="1168">
        <v>3651877.1</v>
      </c>
    </row>
    <row r="1741" spans="1:8" ht="12.75">
      <c r="A1741" s="1822" t="s">
        <v>528</v>
      </c>
      <c r="B1741" s="379" t="s">
        <v>516</v>
      </c>
      <c r="C1741" s="1823" t="s">
        <v>3503</v>
      </c>
      <c r="D1741" s="379" t="s">
        <v>3422</v>
      </c>
      <c r="E1741" s="1168">
        <v>4709000</v>
      </c>
      <c r="F1741" s="1168">
        <v>41506000</v>
      </c>
      <c r="G1741" s="1168">
        <v>38461363.6</v>
      </c>
      <c r="H1741" s="1168">
        <v>3044636.4</v>
      </c>
    </row>
    <row r="1742" spans="1:8" s="174" customFormat="1" ht="12.75">
      <c r="A1742" s="1824" t="s">
        <v>529</v>
      </c>
      <c r="B1742" s="1825"/>
      <c r="C1742" s="1825"/>
      <c r="D1742" s="1826"/>
      <c r="E1742" s="1821">
        <v>19282000</v>
      </c>
      <c r="F1742" s="1821">
        <v>92122000</v>
      </c>
      <c r="G1742" s="1821">
        <v>85123730.4</v>
      </c>
      <c r="H1742" s="1821">
        <v>6998269.6</v>
      </c>
    </row>
    <row r="1743" spans="1:8" ht="12.75">
      <c r="A1743" s="1822" t="s">
        <v>530</v>
      </c>
      <c r="B1743" s="379" t="s">
        <v>531</v>
      </c>
      <c r="C1743" s="1823" t="s">
        <v>3503</v>
      </c>
      <c r="D1743" s="379" t="s">
        <v>3422</v>
      </c>
      <c r="E1743" s="1168">
        <v>0</v>
      </c>
      <c r="F1743" s="1168">
        <v>286000</v>
      </c>
      <c r="G1743" s="1168">
        <v>56737</v>
      </c>
      <c r="H1743" s="1168">
        <v>229263</v>
      </c>
    </row>
    <row r="1744" spans="1:8" ht="12.75">
      <c r="A1744" s="1822" t="s">
        <v>532</v>
      </c>
      <c r="B1744" s="379" t="s">
        <v>515</v>
      </c>
      <c r="C1744" s="1823" t="s">
        <v>3503</v>
      </c>
      <c r="D1744" s="379" t="s">
        <v>3422</v>
      </c>
      <c r="E1744" s="1168">
        <v>69006000</v>
      </c>
      <c r="F1744" s="1168">
        <v>50290000</v>
      </c>
      <c r="G1744" s="1168">
        <v>47025613.1</v>
      </c>
      <c r="H1744" s="1168">
        <v>3264386.9</v>
      </c>
    </row>
    <row r="1745" spans="1:8" ht="12.75">
      <c r="A1745" s="1822" t="s">
        <v>533</v>
      </c>
      <c r="B1745" s="379" t="s">
        <v>516</v>
      </c>
      <c r="C1745" s="1823" t="s">
        <v>3503</v>
      </c>
      <c r="D1745" s="379" t="s">
        <v>3422</v>
      </c>
      <c r="E1745" s="1168">
        <v>5715000</v>
      </c>
      <c r="F1745" s="1168">
        <v>47812000</v>
      </c>
      <c r="G1745" s="1168">
        <v>44291101.95</v>
      </c>
      <c r="H1745" s="1168">
        <v>3520898.05</v>
      </c>
    </row>
    <row r="1746" spans="1:8" s="174" customFormat="1" ht="12.75">
      <c r="A1746" s="1824" t="s">
        <v>534</v>
      </c>
      <c r="B1746" s="1825"/>
      <c r="C1746" s="1825"/>
      <c r="D1746" s="1826"/>
      <c r="E1746" s="1821">
        <v>74721000</v>
      </c>
      <c r="F1746" s="1821">
        <v>98388000</v>
      </c>
      <c r="G1746" s="1821">
        <v>91373452.05</v>
      </c>
      <c r="H1746" s="1821">
        <v>7014547.95</v>
      </c>
    </row>
    <row r="1747" spans="1:8" ht="12.75">
      <c r="A1747" s="1822">
        <v>3141260019</v>
      </c>
      <c r="B1747" s="379" t="s">
        <v>535</v>
      </c>
      <c r="C1747" s="1823" t="s">
        <v>3503</v>
      </c>
      <c r="D1747" s="379" t="s">
        <v>3422</v>
      </c>
      <c r="E1747" s="1168">
        <v>0</v>
      </c>
      <c r="F1747" s="1168">
        <v>1930000</v>
      </c>
      <c r="G1747" s="1168">
        <v>1722465.3</v>
      </c>
      <c r="H1747" s="1168">
        <v>207534.7</v>
      </c>
    </row>
    <row r="1748" spans="1:8" ht="12.75">
      <c r="A1748" s="1822" t="s">
        <v>536</v>
      </c>
      <c r="B1748" s="379" t="s">
        <v>515</v>
      </c>
      <c r="C1748" s="1823" t="s">
        <v>3503</v>
      </c>
      <c r="D1748" s="379" t="s">
        <v>3422</v>
      </c>
      <c r="E1748" s="1168">
        <v>82062000</v>
      </c>
      <c r="F1748" s="1168">
        <v>781000</v>
      </c>
      <c r="G1748" s="1168">
        <v>759166.9</v>
      </c>
      <c r="H1748" s="1168">
        <v>21833.1</v>
      </c>
    </row>
    <row r="1749" spans="1:8" ht="12.75">
      <c r="A1749" s="1822" t="s">
        <v>537</v>
      </c>
      <c r="B1749" s="379" t="s">
        <v>516</v>
      </c>
      <c r="C1749" s="1823" t="s">
        <v>3503</v>
      </c>
      <c r="D1749" s="379" t="s">
        <v>3422</v>
      </c>
      <c r="E1749" s="1168">
        <v>28439000</v>
      </c>
      <c r="F1749" s="1168">
        <v>46611000</v>
      </c>
      <c r="G1749" s="1168">
        <v>43311173.1</v>
      </c>
      <c r="H1749" s="1168">
        <v>3299826.9</v>
      </c>
    </row>
    <row r="1750" spans="1:8" s="174" customFormat="1" ht="12.75">
      <c r="A1750" s="1824" t="s">
        <v>538</v>
      </c>
      <c r="B1750" s="1825"/>
      <c r="C1750" s="1825"/>
      <c r="D1750" s="1826"/>
      <c r="E1750" s="1821">
        <v>110501000</v>
      </c>
      <c r="F1750" s="1821">
        <v>49322000</v>
      </c>
      <c r="G1750" s="1821">
        <v>45792805.3</v>
      </c>
      <c r="H1750" s="1821">
        <v>3529194.7</v>
      </c>
    </row>
    <row r="1751" spans="1:8" ht="12.75">
      <c r="A1751" s="1822" t="s">
        <v>539</v>
      </c>
      <c r="B1751" s="379" t="s">
        <v>540</v>
      </c>
      <c r="C1751" s="1823" t="s">
        <v>3503</v>
      </c>
      <c r="D1751" s="379" t="s">
        <v>3422</v>
      </c>
      <c r="E1751" s="1168">
        <v>0</v>
      </c>
      <c r="F1751" s="1168">
        <v>100000</v>
      </c>
      <c r="G1751" s="1168">
        <v>6548.9</v>
      </c>
      <c r="H1751" s="1168">
        <v>93451.1</v>
      </c>
    </row>
    <row r="1752" spans="1:8" ht="12.75">
      <c r="A1752" s="1822" t="s">
        <v>541</v>
      </c>
      <c r="B1752" s="379" t="s">
        <v>515</v>
      </c>
      <c r="C1752" s="1823" t="s">
        <v>3503</v>
      </c>
      <c r="D1752" s="379" t="s">
        <v>3422</v>
      </c>
      <c r="E1752" s="1168">
        <v>21287000</v>
      </c>
      <c r="F1752" s="1168">
        <v>306000</v>
      </c>
      <c r="G1752" s="1168">
        <v>283314.1</v>
      </c>
      <c r="H1752" s="1168">
        <v>22685.9</v>
      </c>
    </row>
    <row r="1753" spans="1:8" ht="12.75">
      <c r="A1753" s="1822" t="s">
        <v>542</v>
      </c>
      <c r="B1753" s="379" t="s">
        <v>516</v>
      </c>
      <c r="C1753" s="1823" t="s">
        <v>3503</v>
      </c>
      <c r="D1753" s="379" t="s">
        <v>3422</v>
      </c>
      <c r="E1753" s="1168">
        <v>0</v>
      </c>
      <c r="F1753" s="1168">
        <v>3512000</v>
      </c>
      <c r="G1753" s="1168">
        <v>3222294.7</v>
      </c>
      <c r="H1753" s="1168">
        <v>289705.3</v>
      </c>
    </row>
    <row r="1754" spans="1:8" s="174" customFormat="1" ht="12.75">
      <c r="A1754" s="1824" t="s">
        <v>543</v>
      </c>
      <c r="B1754" s="1825"/>
      <c r="C1754" s="1825"/>
      <c r="D1754" s="1826"/>
      <c r="E1754" s="1821">
        <v>21287000</v>
      </c>
      <c r="F1754" s="1821">
        <v>3918000</v>
      </c>
      <c r="G1754" s="1821">
        <v>3512157.7</v>
      </c>
      <c r="H1754" s="1821">
        <v>405842.3</v>
      </c>
    </row>
    <row r="1755" spans="1:8" ht="12.75">
      <c r="A1755" s="1822" t="s">
        <v>544</v>
      </c>
      <c r="B1755" s="379" t="s">
        <v>545</v>
      </c>
      <c r="C1755" s="1823" t="s">
        <v>3503</v>
      </c>
      <c r="D1755" s="379" t="s">
        <v>3422</v>
      </c>
      <c r="E1755" s="1168">
        <v>0</v>
      </c>
      <c r="F1755" s="1168">
        <v>180000</v>
      </c>
      <c r="G1755" s="1168">
        <v>158805</v>
      </c>
      <c r="H1755" s="1168">
        <v>21195</v>
      </c>
    </row>
    <row r="1756" spans="1:8" ht="12.75">
      <c r="A1756" s="1822" t="s">
        <v>546</v>
      </c>
      <c r="B1756" s="379" t="s">
        <v>515</v>
      </c>
      <c r="C1756" s="1823" t="s">
        <v>3503</v>
      </c>
      <c r="D1756" s="379" t="s">
        <v>3422</v>
      </c>
      <c r="E1756" s="1168">
        <v>39003000</v>
      </c>
      <c r="F1756" s="1168">
        <v>7470000</v>
      </c>
      <c r="G1756" s="1168">
        <v>7097374.3</v>
      </c>
      <c r="H1756" s="1168">
        <v>372625.7</v>
      </c>
    </row>
    <row r="1757" spans="1:8" ht="12.75">
      <c r="A1757" s="1822" t="s">
        <v>547</v>
      </c>
      <c r="B1757" s="379" t="s">
        <v>516</v>
      </c>
      <c r="C1757" s="1823" t="s">
        <v>3503</v>
      </c>
      <c r="D1757" s="379" t="s">
        <v>3422</v>
      </c>
      <c r="E1757" s="1168">
        <v>48814000</v>
      </c>
      <c r="F1757" s="1168">
        <v>28167000</v>
      </c>
      <c r="G1757" s="1168">
        <v>25666138.8</v>
      </c>
      <c r="H1757" s="1168">
        <v>2500861.2</v>
      </c>
    </row>
    <row r="1758" spans="1:8" s="174" customFormat="1" ht="12.75">
      <c r="A1758" s="1824" t="s">
        <v>548</v>
      </c>
      <c r="B1758" s="1825"/>
      <c r="C1758" s="1825"/>
      <c r="D1758" s="1826"/>
      <c r="E1758" s="1821">
        <v>87817000</v>
      </c>
      <c r="F1758" s="1821">
        <v>35817000</v>
      </c>
      <c r="G1758" s="1821">
        <v>32922318.1</v>
      </c>
      <c r="H1758" s="1821">
        <v>2894681.9</v>
      </c>
    </row>
    <row r="1759" spans="1:8" s="174" customFormat="1" ht="12.75">
      <c r="A1759" s="1824" t="s">
        <v>549</v>
      </c>
      <c r="B1759" s="1825"/>
      <c r="C1759" s="1825"/>
      <c r="D1759" s="1826"/>
      <c r="E1759" s="1821">
        <f>SUM(E1732,E1734,E1738,E1742,E1746,E1750,E1754,E1758)</f>
        <v>340800000</v>
      </c>
      <c r="F1759" s="1821">
        <f>SUM(F1732,F1734,F1738,F1742,F1746,F1750,F1754,F1758)</f>
        <v>374720000</v>
      </c>
      <c r="G1759" s="1821">
        <f>SUM(G1732,G1734,G1738,G1742,G1746,G1750,G1754,G1758)</f>
        <v>346741664.85</v>
      </c>
      <c r="H1759" s="1821">
        <f>SUM(H1732,H1734,H1738,H1742,H1746,H1750,H1754,H1758)</f>
        <v>27978335.15</v>
      </c>
    </row>
    <row r="1760" spans="1:8" ht="12.75">
      <c r="A1760" s="1822" t="s">
        <v>550</v>
      </c>
      <c r="B1760" s="379" t="s">
        <v>551</v>
      </c>
      <c r="C1760" s="1823" t="s">
        <v>2541</v>
      </c>
      <c r="D1760" s="379" t="s">
        <v>3422</v>
      </c>
      <c r="E1760" s="1168">
        <v>35540000</v>
      </c>
      <c r="F1760" s="1168">
        <v>22787000</v>
      </c>
      <c r="G1760" s="1168">
        <v>0</v>
      </c>
      <c r="H1760" s="1168">
        <v>22787000</v>
      </c>
    </row>
    <row r="1761" spans="1:8" ht="12.75">
      <c r="A1761" s="1822">
        <v>3142130023</v>
      </c>
      <c r="B1761" s="379" t="s">
        <v>552</v>
      </c>
      <c r="C1761" s="1823" t="s">
        <v>2532</v>
      </c>
      <c r="D1761" s="379" t="s">
        <v>3422</v>
      </c>
      <c r="E1761" s="1168">
        <v>50100000</v>
      </c>
      <c r="F1761" s="1168">
        <v>0</v>
      </c>
      <c r="G1761" s="1168">
        <v>0</v>
      </c>
      <c r="H1761" s="1168">
        <v>0</v>
      </c>
    </row>
    <row r="1762" spans="1:8" ht="12.75">
      <c r="A1762" s="1822" t="s">
        <v>553</v>
      </c>
      <c r="B1762" s="379" t="s">
        <v>554</v>
      </c>
      <c r="C1762" s="1823" t="s">
        <v>2532</v>
      </c>
      <c r="D1762" s="379" t="s">
        <v>3422</v>
      </c>
      <c r="E1762" s="1168">
        <v>0</v>
      </c>
      <c r="F1762" s="1168">
        <v>2000000</v>
      </c>
      <c r="G1762" s="1168">
        <v>1999938.1</v>
      </c>
      <c r="H1762" s="1168">
        <v>0</v>
      </c>
    </row>
    <row r="1763" spans="1:8" ht="12.75">
      <c r="A1763" s="1822">
        <v>3142130094</v>
      </c>
      <c r="B1763" s="379" t="s">
        <v>555</v>
      </c>
      <c r="C1763" s="1823" t="s">
        <v>2176</v>
      </c>
      <c r="D1763" s="379" t="s">
        <v>3422</v>
      </c>
      <c r="E1763" s="1168">
        <v>10326000</v>
      </c>
      <c r="F1763" s="1168">
        <v>0</v>
      </c>
      <c r="G1763" s="1168">
        <v>0</v>
      </c>
      <c r="H1763" s="1168">
        <v>0</v>
      </c>
    </row>
    <row r="1764" spans="1:8" ht="12.75">
      <c r="A1764" s="1822" t="s">
        <v>556</v>
      </c>
      <c r="B1764" s="379" t="s">
        <v>557</v>
      </c>
      <c r="C1764" s="1823" t="s">
        <v>2561</v>
      </c>
      <c r="D1764" s="379" t="s">
        <v>3422</v>
      </c>
      <c r="E1764" s="1168">
        <v>28785000</v>
      </c>
      <c r="F1764" s="1168">
        <v>48835000</v>
      </c>
      <c r="G1764" s="1168">
        <v>43527778.72</v>
      </c>
      <c r="H1764" s="1168">
        <v>5307221.28</v>
      </c>
    </row>
    <row r="1765" spans="1:8" ht="12.75">
      <c r="A1765" s="1822" t="s">
        <v>558</v>
      </c>
      <c r="B1765" s="379" t="s">
        <v>559</v>
      </c>
      <c r="C1765" s="1823" t="s">
        <v>3190</v>
      </c>
      <c r="D1765" s="379" t="s">
        <v>3422</v>
      </c>
      <c r="E1765" s="1168">
        <v>12628000</v>
      </c>
      <c r="F1765" s="1168">
        <v>15700000</v>
      </c>
      <c r="G1765" s="1168">
        <v>15699055.9</v>
      </c>
      <c r="H1765" s="1168">
        <v>944</v>
      </c>
    </row>
    <row r="1766" spans="1:8" ht="12.75">
      <c r="A1766" s="1822">
        <v>3142130125</v>
      </c>
      <c r="B1766" s="379" t="s">
        <v>560</v>
      </c>
      <c r="C1766" s="1823" t="s">
        <v>3190</v>
      </c>
      <c r="D1766" s="379" t="s">
        <v>3422</v>
      </c>
      <c r="E1766" s="1168">
        <v>1920000</v>
      </c>
      <c r="F1766" s="1168">
        <v>9667000</v>
      </c>
      <c r="G1766" s="1168">
        <v>9666419</v>
      </c>
      <c r="H1766" s="1168">
        <v>581</v>
      </c>
    </row>
    <row r="1767" spans="1:8" ht="12.75">
      <c r="A1767" s="1822" t="s">
        <v>561</v>
      </c>
      <c r="B1767" s="379" t="s">
        <v>562</v>
      </c>
      <c r="C1767" s="1823" t="s">
        <v>2561</v>
      </c>
      <c r="D1767" s="379" t="s">
        <v>3422</v>
      </c>
      <c r="E1767" s="1168">
        <v>0</v>
      </c>
      <c r="F1767" s="1168">
        <v>524000</v>
      </c>
      <c r="G1767" s="1168">
        <v>523999.76</v>
      </c>
      <c r="H1767" s="1168">
        <v>0.24</v>
      </c>
    </row>
    <row r="1768" spans="1:8" ht="12.75">
      <c r="A1768" s="1822" t="s">
        <v>563</v>
      </c>
      <c r="B1768" s="379" t="s">
        <v>564</v>
      </c>
      <c r="C1768" s="1823" t="s">
        <v>2532</v>
      </c>
      <c r="D1768" s="379" t="s">
        <v>3422</v>
      </c>
      <c r="E1768" s="1168">
        <v>21400000</v>
      </c>
      <c r="F1768" s="1168">
        <v>37881000</v>
      </c>
      <c r="G1768" s="1168">
        <v>37880958</v>
      </c>
      <c r="H1768" s="1168">
        <v>0</v>
      </c>
    </row>
    <row r="1769" spans="1:8" ht="12.75">
      <c r="A1769" s="1822" t="s">
        <v>563</v>
      </c>
      <c r="B1769" s="379" t="s">
        <v>564</v>
      </c>
      <c r="C1769" s="1823" t="s">
        <v>2532</v>
      </c>
      <c r="D1769" s="379" t="s">
        <v>3423</v>
      </c>
      <c r="E1769" s="1168">
        <v>0</v>
      </c>
      <c r="F1769" s="1168">
        <v>785000</v>
      </c>
      <c r="G1769" s="1168">
        <v>784746</v>
      </c>
      <c r="H1769" s="1168">
        <v>0</v>
      </c>
    </row>
    <row r="1770" spans="1:8" s="174" customFormat="1" ht="12.75">
      <c r="A1770" s="1824" t="s">
        <v>565</v>
      </c>
      <c r="B1770" s="1825"/>
      <c r="C1770" s="1825"/>
      <c r="D1770" s="1826"/>
      <c r="E1770" s="1821">
        <v>160699000</v>
      </c>
      <c r="F1770" s="1821">
        <v>138179000</v>
      </c>
      <c r="G1770" s="1821">
        <v>110082895.48</v>
      </c>
      <c r="H1770" s="1821">
        <v>28095746.52</v>
      </c>
    </row>
    <row r="1771" spans="1:8" ht="12.75">
      <c r="A1771" s="1822" t="s">
        <v>566</v>
      </c>
      <c r="B1771" s="379" t="s">
        <v>567</v>
      </c>
      <c r="C1771" s="1823" t="s">
        <v>3190</v>
      </c>
      <c r="D1771" s="379" t="s">
        <v>3422</v>
      </c>
      <c r="E1771" s="1168">
        <v>2000000</v>
      </c>
      <c r="F1771" s="1168">
        <v>1300000</v>
      </c>
      <c r="G1771" s="1168">
        <v>1299343.9</v>
      </c>
      <c r="H1771" s="1168">
        <v>656</v>
      </c>
    </row>
    <row r="1772" spans="1:8" s="174" customFormat="1" ht="12.75">
      <c r="A1772" s="1824" t="s">
        <v>568</v>
      </c>
      <c r="B1772" s="1825"/>
      <c r="C1772" s="1825"/>
      <c r="D1772" s="1826"/>
      <c r="E1772" s="1821">
        <v>2000000</v>
      </c>
      <c r="F1772" s="1821">
        <v>1300000</v>
      </c>
      <c r="G1772" s="1821">
        <v>1299343.9</v>
      </c>
      <c r="H1772" s="1821">
        <v>656</v>
      </c>
    </row>
    <row r="1773" spans="1:8" s="174" customFormat="1" ht="12.75">
      <c r="A1773" s="1824" t="s">
        <v>569</v>
      </c>
      <c r="B1773" s="1825"/>
      <c r="C1773" s="1825"/>
      <c r="D1773" s="1826"/>
      <c r="E1773" s="1821">
        <f>SUM(E1770,E1772)</f>
        <v>162699000</v>
      </c>
      <c r="F1773" s="1821">
        <f>SUM(F1770,F1772)</f>
        <v>139479000</v>
      </c>
      <c r="G1773" s="1821">
        <f>SUM(G1770,G1772)</f>
        <v>111382239.38000001</v>
      </c>
      <c r="H1773" s="1821">
        <f>SUM(H1770,H1772)</f>
        <v>28096402.52</v>
      </c>
    </row>
    <row r="1774" spans="1:8" ht="12.75">
      <c r="A1774" s="1822">
        <v>3143102003</v>
      </c>
      <c r="B1774" s="379" t="s">
        <v>570</v>
      </c>
      <c r="C1774" s="1823" t="s">
        <v>3455</v>
      </c>
      <c r="D1774" s="379" t="s">
        <v>3422</v>
      </c>
      <c r="E1774" s="1168">
        <v>6635000</v>
      </c>
      <c r="F1774" s="1168">
        <v>0</v>
      </c>
      <c r="G1774" s="1168">
        <v>0</v>
      </c>
      <c r="H1774" s="1168">
        <v>0</v>
      </c>
    </row>
    <row r="1775" spans="1:8" s="174" customFormat="1" ht="12.75">
      <c r="A1775" s="1824" t="s">
        <v>571</v>
      </c>
      <c r="B1775" s="1825"/>
      <c r="C1775" s="1825"/>
      <c r="D1775" s="1826"/>
      <c r="E1775" s="1821">
        <v>6635000</v>
      </c>
      <c r="F1775" s="1821">
        <v>0</v>
      </c>
      <c r="G1775" s="1821">
        <v>0</v>
      </c>
      <c r="H1775" s="1821">
        <v>0</v>
      </c>
    </row>
    <row r="1776" spans="1:8" ht="12.75">
      <c r="A1776" s="1822" t="s">
        <v>572</v>
      </c>
      <c r="B1776" s="379" t="s">
        <v>573</v>
      </c>
      <c r="C1776" s="1823" t="s">
        <v>2645</v>
      </c>
      <c r="D1776" s="379" t="s">
        <v>3422</v>
      </c>
      <c r="E1776" s="1168">
        <v>55000000</v>
      </c>
      <c r="F1776" s="1168">
        <v>55000000</v>
      </c>
      <c r="G1776" s="1168">
        <v>55000000</v>
      </c>
      <c r="H1776" s="1168">
        <v>0</v>
      </c>
    </row>
    <row r="1777" spans="1:8" s="174" customFormat="1" ht="12.75">
      <c r="A1777" s="1824" t="s">
        <v>574</v>
      </c>
      <c r="B1777" s="1825"/>
      <c r="C1777" s="1825"/>
      <c r="D1777" s="1826"/>
      <c r="E1777" s="1821">
        <v>55000000</v>
      </c>
      <c r="F1777" s="1821">
        <v>55000000</v>
      </c>
      <c r="G1777" s="1821">
        <v>55000000</v>
      </c>
      <c r="H1777" s="1821">
        <v>0</v>
      </c>
    </row>
    <row r="1778" spans="1:8" ht="12.75">
      <c r="A1778" s="1822" t="s">
        <v>575</v>
      </c>
      <c r="B1778" s="379" t="s">
        <v>576</v>
      </c>
      <c r="C1778" s="1823" t="s">
        <v>3475</v>
      </c>
      <c r="D1778" s="379" t="s">
        <v>3422</v>
      </c>
      <c r="E1778" s="1168">
        <v>0</v>
      </c>
      <c r="F1778" s="1168">
        <v>0</v>
      </c>
      <c r="G1778" s="1168">
        <v>9521000</v>
      </c>
      <c r="H1778" s="1168">
        <v>0</v>
      </c>
    </row>
    <row r="1779" spans="1:8" ht="12.75">
      <c r="A1779" s="1822" t="s">
        <v>575</v>
      </c>
      <c r="B1779" s="379" t="s">
        <v>576</v>
      </c>
      <c r="C1779" s="1823" t="s">
        <v>3475</v>
      </c>
      <c r="D1779" s="379" t="s">
        <v>3422</v>
      </c>
      <c r="E1779" s="1168">
        <v>8200000</v>
      </c>
      <c r="F1779" s="1168">
        <v>8202000</v>
      </c>
      <c r="G1779" s="1168">
        <v>8201918.3</v>
      </c>
      <c r="H1779" s="1168">
        <v>81.7</v>
      </c>
    </row>
    <row r="1780" spans="1:8" ht="12.75">
      <c r="A1780" s="1822">
        <v>3146120010</v>
      </c>
      <c r="B1780" s="379" t="s">
        <v>577</v>
      </c>
      <c r="C1780" s="1823" t="s">
        <v>3477</v>
      </c>
      <c r="D1780" s="379" t="s">
        <v>3422</v>
      </c>
      <c r="E1780" s="1168">
        <v>18821000</v>
      </c>
      <c r="F1780" s="1168">
        <v>0</v>
      </c>
      <c r="G1780" s="1168">
        <v>0</v>
      </c>
      <c r="H1780" s="1168">
        <v>0</v>
      </c>
    </row>
    <row r="1781" spans="1:8" ht="12.75">
      <c r="A1781" s="1822">
        <v>3146120012</v>
      </c>
      <c r="B1781" s="379" t="s">
        <v>578</v>
      </c>
      <c r="C1781" s="1823" t="s">
        <v>3479</v>
      </c>
      <c r="D1781" s="379" t="s">
        <v>3422</v>
      </c>
      <c r="E1781" s="1168">
        <v>7706000</v>
      </c>
      <c r="F1781" s="1168">
        <v>0</v>
      </c>
      <c r="G1781" s="1168">
        <v>0</v>
      </c>
      <c r="H1781" s="1168">
        <v>0</v>
      </c>
    </row>
    <row r="1782" spans="1:8" s="174" customFormat="1" ht="12.75">
      <c r="A1782" s="1824" t="s">
        <v>579</v>
      </c>
      <c r="B1782" s="1825"/>
      <c r="C1782" s="1825"/>
      <c r="D1782" s="1826"/>
      <c r="E1782" s="1821">
        <v>34727000</v>
      </c>
      <c r="F1782" s="1821">
        <v>8202000</v>
      </c>
      <c r="G1782" s="1821">
        <v>17722918.3</v>
      </c>
      <c r="H1782" s="1821">
        <v>81.7</v>
      </c>
    </row>
    <row r="1783" spans="1:8" s="174" customFormat="1" ht="12.75">
      <c r="A1783" s="1824" t="s">
        <v>580</v>
      </c>
      <c r="B1783" s="1825"/>
      <c r="C1783" s="1825"/>
      <c r="D1783" s="1826"/>
      <c r="E1783" s="1821">
        <f>SUM(E1777,E1782)</f>
        <v>89727000</v>
      </c>
      <c r="F1783" s="1821">
        <f>SUM(F1777,F1782)</f>
        <v>63202000</v>
      </c>
      <c r="G1783" s="1821">
        <f>SUM(G1777,G1782)</f>
        <v>72722918.3</v>
      </c>
      <c r="H1783" s="1821">
        <f>SUM(H1777,H1782)</f>
        <v>81.7</v>
      </c>
    </row>
    <row r="1784" spans="1:8" ht="12.75">
      <c r="A1784" s="1822" t="s">
        <v>581</v>
      </c>
      <c r="B1784" s="379" t="s">
        <v>582</v>
      </c>
      <c r="C1784" s="1823" t="s">
        <v>3481</v>
      </c>
      <c r="D1784" s="379" t="s">
        <v>3422</v>
      </c>
      <c r="E1784" s="1168">
        <v>0</v>
      </c>
      <c r="F1784" s="1168">
        <v>17024000</v>
      </c>
      <c r="G1784" s="1168">
        <v>17023252</v>
      </c>
      <c r="H1784" s="1168">
        <v>748</v>
      </c>
    </row>
    <row r="1785" spans="1:8" ht="12.75">
      <c r="A1785" s="1822" t="s">
        <v>583</v>
      </c>
      <c r="B1785" s="379" t="s">
        <v>584</v>
      </c>
      <c r="C1785" s="1823" t="s">
        <v>3468</v>
      </c>
      <c r="D1785" s="379" t="s">
        <v>3422</v>
      </c>
      <c r="E1785" s="1168">
        <v>0</v>
      </c>
      <c r="F1785" s="1168">
        <v>0</v>
      </c>
      <c r="G1785" s="1168">
        <v>3000000</v>
      </c>
      <c r="H1785" s="1168">
        <v>0</v>
      </c>
    </row>
    <row r="1786" spans="1:8" ht="12.75">
      <c r="A1786" s="1822">
        <v>3146211200</v>
      </c>
      <c r="B1786" s="379" t="s">
        <v>585</v>
      </c>
      <c r="C1786" s="1823" t="s">
        <v>3483</v>
      </c>
      <c r="D1786" s="379" t="s">
        <v>3422</v>
      </c>
      <c r="E1786" s="1168">
        <v>9126000</v>
      </c>
      <c r="F1786" s="1168">
        <v>0</v>
      </c>
      <c r="G1786" s="1168">
        <v>0</v>
      </c>
      <c r="H1786" s="1168">
        <v>0</v>
      </c>
    </row>
    <row r="1787" spans="1:8" ht="12.75">
      <c r="A1787" s="1822" t="s">
        <v>586</v>
      </c>
      <c r="B1787" s="379" t="s">
        <v>587</v>
      </c>
      <c r="C1787" s="1823" t="s">
        <v>3471</v>
      </c>
      <c r="D1787" s="379" t="s">
        <v>3422</v>
      </c>
      <c r="E1787" s="1168">
        <v>0</v>
      </c>
      <c r="F1787" s="1168">
        <v>12550000</v>
      </c>
      <c r="G1787" s="1168">
        <v>12152888.3</v>
      </c>
      <c r="H1787" s="1168">
        <v>397111.7</v>
      </c>
    </row>
    <row r="1788" spans="1:8" ht="12.75">
      <c r="A1788" s="1822" t="s">
        <v>588</v>
      </c>
      <c r="B1788" s="379" t="s">
        <v>589</v>
      </c>
      <c r="C1788" s="1823" t="s">
        <v>3468</v>
      </c>
      <c r="D1788" s="379" t="s">
        <v>3422</v>
      </c>
      <c r="E1788" s="1168">
        <v>72000000</v>
      </c>
      <c r="F1788" s="1168">
        <v>49206000</v>
      </c>
      <c r="G1788" s="1168">
        <v>48026008.5</v>
      </c>
      <c r="H1788" s="1168">
        <v>1179991.5</v>
      </c>
    </row>
    <row r="1789" spans="1:8" ht="12.75">
      <c r="A1789" s="1822">
        <v>3146212391</v>
      </c>
      <c r="B1789" s="379" t="s">
        <v>589</v>
      </c>
      <c r="C1789" s="1823" t="s">
        <v>3468</v>
      </c>
      <c r="D1789" s="379" t="s">
        <v>3422</v>
      </c>
      <c r="E1789" s="1168">
        <v>0</v>
      </c>
      <c r="F1789" s="1168">
        <v>0</v>
      </c>
      <c r="G1789" s="1168">
        <v>0</v>
      </c>
      <c r="H1789" s="1168">
        <v>6867000</v>
      </c>
    </row>
    <row r="1790" spans="1:8" ht="12.75">
      <c r="A1790" s="1822">
        <v>3146212393</v>
      </c>
      <c r="B1790" s="379" t="s">
        <v>590</v>
      </c>
      <c r="C1790" s="1823" t="s">
        <v>3481</v>
      </c>
      <c r="D1790" s="379" t="s">
        <v>3422</v>
      </c>
      <c r="E1790" s="1168">
        <v>28705000</v>
      </c>
      <c r="F1790" s="1168">
        <v>0</v>
      </c>
      <c r="G1790" s="1168">
        <v>0</v>
      </c>
      <c r="H1790" s="1168">
        <v>0</v>
      </c>
    </row>
    <row r="1791" spans="1:8" ht="12.75">
      <c r="A1791" s="1822">
        <v>3146212395</v>
      </c>
      <c r="B1791" s="379" t="s">
        <v>591</v>
      </c>
      <c r="C1791" s="1823" t="s">
        <v>3473</v>
      </c>
      <c r="D1791" s="379" t="s">
        <v>3422</v>
      </c>
      <c r="E1791" s="1168">
        <v>7694000</v>
      </c>
      <c r="F1791" s="1168">
        <v>41673000</v>
      </c>
      <c r="G1791" s="1168">
        <v>41666894.4</v>
      </c>
      <c r="H1791" s="1168">
        <v>6105.6</v>
      </c>
    </row>
    <row r="1792" spans="1:8" s="174" customFormat="1" ht="12.75">
      <c r="A1792" s="1824" t="s">
        <v>592</v>
      </c>
      <c r="B1792" s="1825"/>
      <c r="C1792" s="1825"/>
      <c r="D1792" s="1826"/>
      <c r="E1792" s="1821">
        <v>117525000</v>
      </c>
      <c r="F1792" s="1821">
        <v>120453000</v>
      </c>
      <c r="G1792" s="1821">
        <v>121869043.2</v>
      </c>
      <c r="H1792" s="1821">
        <v>8450956.8</v>
      </c>
    </row>
    <row r="1793" spans="1:8" s="174" customFormat="1" ht="12.75">
      <c r="A1793" s="1824" t="s">
        <v>593</v>
      </c>
      <c r="B1793" s="1825"/>
      <c r="C1793" s="1825"/>
      <c r="D1793" s="1826"/>
      <c r="E1793" s="1821">
        <f>SUM(E1792)</f>
        <v>117525000</v>
      </c>
      <c r="F1793" s="1821">
        <f>SUM(F1792)</f>
        <v>120453000</v>
      </c>
      <c r="G1793" s="1821">
        <f>SUM(G1792)</f>
        <v>121869043.2</v>
      </c>
      <c r="H1793" s="1821">
        <f>SUM(H1792)</f>
        <v>8450956.8</v>
      </c>
    </row>
    <row r="1794" spans="1:8" s="174" customFormat="1" ht="12.75">
      <c r="A1794" s="1824" t="s">
        <v>594</v>
      </c>
      <c r="B1794" s="1825"/>
      <c r="C1794" s="1825"/>
      <c r="D1794" s="1826"/>
      <c r="E1794" s="1821">
        <f>SUM(E152,E241,E368,E417,E520,E1216,E1701,E1722,E1726,E1729,E1759,E1773,E1775,E1783,E1793)</f>
        <v>3848866000</v>
      </c>
      <c r="F1794" s="1821">
        <f>SUM(F152,F241,F368,F417,F520,F1216,F1701,F1722,F1726,F1729,F1759,F1773,F1775,F1783,F1793)</f>
        <v>4730939000</v>
      </c>
      <c r="G1794" s="1821">
        <f>SUM(G152,G241,G368,G417,G520,G1216,G1701,G1722,G1726,G1729,G1759,G1773,G1775,G1783,G1793)</f>
        <v>3989679092.69</v>
      </c>
      <c r="H1794" s="1821">
        <f>SUM(H152,H241,H368,H417,H520,H1216,H1701,H1722,H1726,H1729,H1759,H1773,H1775,H1783,H1793)</f>
        <v>820301647.93</v>
      </c>
    </row>
    <row r="1795" spans="1:8" ht="12.75">
      <c r="A1795" s="1827" t="s">
        <v>595</v>
      </c>
      <c r="B1795" s="1823" t="s">
        <v>596</v>
      </c>
      <c r="C1795" s="1823" t="s">
        <v>2644</v>
      </c>
      <c r="D1795" s="1823" t="s">
        <v>3422</v>
      </c>
      <c r="E1795" s="1828">
        <v>0</v>
      </c>
      <c r="F1795" s="1828">
        <v>8000000</v>
      </c>
      <c r="G1795" s="1828">
        <v>7999817.2</v>
      </c>
      <c r="H1795" s="1828">
        <v>0</v>
      </c>
    </row>
    <row r="1796" spans="1:8" ht="12.75">
      <c r="A1796" s="1829" t="s">
        <v>597</v>
      </c>
      <c r="B1796" s="1830" t="s">
        <v>598</v>
      </c>
      <c r="C1796" s="1830" t="s">
        <v>2644</v>
      </c>
      <c r="D1796" s="1830" t="s">
        <v>3422</v>
      </c>
      <c r="E1796" s="1828">
        <v>0</v>
      </c>
      <c r="F1796" s="1828">
        <v>1500000</v>
      </c>
      <c r="G1796" s="1828">
        <v>1498396.5</v>
      </c>
      <c r="H1796" s="1828">
        <v>0</v>
      </c>
    </row>
    <row r="1797" spans="1:8" s="174" customFormat="1" ht="12.75">
      <c r="A1797" s="1824" t="s">
        <v>599</v>
      </c>
      <c r="B1797" s="1825"/>
      <c r="C1797" s="1825"/>
      <c r="D1797" s="1826"/>
      <c r="E1797" s="1831">
        <v>0</v>
      </c>
      <c r="F1797" s="1821">
        <v>9500000</v>
      </c>
      <c r="G1797" s="1821">
        <v>9498213.7</v>
      </c>
      <c r="H1797" s="1821">
        <v>0</v>
      </c>
    </row>
    <row r="1798" spans="1:8" s="174" customFormat="1" ht="12.75">
      <c r="A1798" s="1824" t="s">
        <v>600</v>
      </c>
      <c r="B1798" s="1825"/>
      <c r="C1798" s="1825"/>
      <c r="D1798" s="1826"/>
      <c r="E1798" s="1831">
        <f>SUM(E1797)</f>
        <v>0</v>
      </c>
      <c r="F1798" s="1821">
        <f>SUM(F1797)</f>
        <v>9500000</v>
      </c>
      <c r="G1798" s="1821">
        <f>SUM(G1797)</f>
        <v>9498213.7</v>
      </c>
      <c r="H1798" s="1821">
        <f>SUM(H1797)</f>
        <v>0</v>
      </c>
    </row>
    <row r="1799" spans="1:8" s="174" customFormat="1" ht="12.75">
      <c r="A1799" s="1824" t="s">
        <v>601</v>
      </c>
      <c r="B1799" s="1825"/>
      <c r="C1799" s="1825"/>
      <c r="D1799" s="1826"/>
      <c r="E1799" s="1831">
        <f>SUM(E1794,E1798)</f>
        <v>3848866000</v>
      </c>
      <c r="F1799" s="1821">
        <f>SUM(F1794,F1798)</f>
        <v>4740439000</v>
      </c>
      <c r="G1799" s="1821">
        <f>SUM(G1794,G1798)</f>
        <v>3999177306.39</v>
      </c>
      <c r="H1799" s="1821">
        <f>SUM(H1794,H1798)</f>
        <v>820301647.93</v>
      </c>
    </row>
    <row r="1800" spans="1:8" s="174" customFormat="1" ht="12.75">
      <c r="A1800" s="1832"/>
      <c r="B1800" s="1833"/>
      <c r="C1800" s="1833"/>
      <c r="D1800" s="1833"/>
      <c r="E1800" s="1834"/>
      <c r="F1800" s="1834"/>
      <c r="G1800" s="1834"/>
      <c r="H1800" s="1834"/>
    </row>
    <row r="1801" spans="1:2" ht="12.75">
      <c r="A1801" s="1835" t="s">
        <v>2568</v>
      </c>
      <c r="B1801" s="1417" t="s">
        <v>602</v>
      </c>
    </row>
    <row r="1802" spans="1:2" ht="12.75">
      <c r="A1802" s="1835"/>
      <c r="B1802" s="1417" t="s">
        <v>603</v>
      </c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fitToHeight="40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workbookViewId="0" topLeftCell="F1">
      <selection activeCell="G1" sqref="G1"/>
    </sheetView>
  </sheetViews>
  <sheetFormatPr defaultColWidth="9.00390625" defaultRowHeight="12.75"/>
  <cols>
    <col min="1" max="1" width="0" style="0" hidden="1" customWidth="1"/>
    <col min="2" max="2" width="25.50390625" style="0" customWidth="1"/>
    <col min="3" max="3" width="13.625" style="392" customWidth="1"/>
    <col min="4" max="5" width="12.375" style="392" customWidth="1"/>
    <col min="6" max="6" width="13.625" style="392" customWidth="1"/>
    <col min="7" max="14" width="12.375" style="392" customWidth="1"/>
    <col min="15" max="15" width="14.875" style="392" customWidth="1"/>
  </cols>
  <sheetData>
    <row r="2" spans="2:15" ht="13.5">
      <c r="B2" t="s">
        <v>3513</v>
      </c>
      <c r="O2" s="1422" t="s">
        <v>3707</v>
      </c>
    </row>
    <row r="3" spans="2:15" ht="17.25">
      <c r="B3" s="1854" t="s">
        <v>3706</v>
      </c>
      <c r="C3" s="1854"/>
      <c r="D3" s="1854"/>
      <c r="E3" s="1854"/>
      <c r="F3" s="1854"/>
      <c r="G3" s="1854"/>
      <c r="H3" s="1854"/>
      <c r="I3" s="1854"/>
      <c r="J3" s="1854"/>
      <c r="K3" s="1854"/>
      <c r="L3" s="1854"/>
      <c r="M3" s="1854"/>
      <c r="N3" s="1854"/>
      <c r="O3" s="1854"/>
    </row>
    <row r="4" ht="13.5" thickBot="1">
      <c r="O4" s="1120" t="s">
        <v>2575</v>
      </c>
    </row>
    <row r="5" spans="2:15" ht="12.75">
      <c r="B5" s="1377" t="s">
        <v>3623</v>
      </c>
      <c r="C5" s="1378" t="s">
        <v>3624</v>
      </c>
      <c r="D5" s="1378" t="s">
        <v>3625</v>
      </c>
      <c r="E5" s="1378" t="s">
        <v>3626</v>
      </c>
      <c r="F5" s="1378" t="s">
        <v>3627</v>
      </c>
      <c r="G5" s="1378" t="s">
        <v>3628</v>
      </c>
      <c r="H5" s="1378" t="s">
        <v>3629</v>
      </c>
      <c r="I5" s="1378" t="s">
        <v>3630</v>
      </c>
      <c r="J5" s="1378" t="s">
        <v>3631</v>
      </c>
      <c r="K5" s="1378" t="s">
        <v>3632</v>
      </c>
      <c r="L5" s="1378" t="s">
        <v>3633</v>
      </c>
      <c r="M5" s="1378" t="s">
        <v>3634</v>
      </c>
      <c r="N5" s="1378" t="s">
        <v>3635</v>
      </c>
      <c r="O5" s="1379" t="s">
        <v>2619</v>
      </c>
    </row>
    <row r="6" spans="2:15" ht="13.5" thickBot="1">
      <c r="B6" s="1380"/>
      <c r="C6" s="1381">
        <f aca="true" t="shared" si="0" ref="C6:N6">SUM(C8:C11)</f>
        <v>228667.101</v>
      </c>
      <c r="D6" s="1381">
        <f t="shared" si="0"/>
        <v>3429.2</v>
      </c>
      <c r="E6" s="1381">
        <f t="shared" si="0"/>
        <v>65.684</v>
      </c>
      <c r="F6" s="1381">
        <f t="shared" si="0"/>
        <v>5854.935</v>
      </c>
      <c r="G6" s="1381">
        <f t="shared" si="0"/>
        <v>1686.6480000000001</v>
      </c>
      <c r="H6" s="1381">
        <f t="shared" si="0"/>
        <v>82.449</v>
      </c>
      <c r="I6" s="1381">
        <f t="shared" si="0"/>
        <v>723.41</v>
      </c>
      <c r="J6" s="1381">
        <f t="shared" si="0"/>
        <v>47.1</v>
      </c>
      <c r="K6" s="1381">
        <f t="shared" si="0"/>
        <v>10.102</v>
      </c>
      <c r="L6" s="1381">
        <f t="shared" si="0"/>
        <v>2348.912</v>
      </c>
      <c r="M6" s="1381">
        <f t="shared" si="0"/>
        <v>1368.456</v>
      </c>
      <c r="N6" s="1381">
        <f t="shared" si="0"/>
        <v>7775.267</v>
      </c>
      <c r="O6" s="1381">
        <f>SUM(O8:O11)</f>
        <v>252059.26399999994</v>
      </c>
    </row>
    <row r="7" ht="13.5" thickBot="1">
      <c r="B7" t="s">
        <v>3636</v>
      </c>
    </row>
    <row r="8" spans="2:15" ht="12.75">
      <c r="B8" s="1254" t="s">
        <v>3637</v>
      </c>
      <c r="C8" s="1382">
        <v>175442.642</v>
      </c>
      <c r="D8" s="1382">
        <v>60</v>
      </c>
      <c r="E8" s="1382">
        <f>7.4</f>
        <v>7.4</v>
      </c>
      <c r="F8" s="1382">
        <v>5854.935</v>
      </c>
      <c r="G8" s="1382">
        <v>145.693</v>
      </c>
      <c r="H8" s="1382">
        <v>75.702</v>
      </c>
      <c r="I8" s="1382">
        <v>8</v>
      </c>
      <c r="J8" s="1382">
        <v>9.12</v>
      </c>
      <c r="K8" s="1382">
        <v>0</v>
      </c>
      <c r="L8" s="1382">
        <v>1174.322</v>
      </c>
      <c r="M8" s="1382">
        <v>1350</v>
      </c>
      <c r="N8" s="1382">
        <v>5066.599</v>
      </c>
      <c r="O8" s="1383">
        <f>SUM(C8:N8)</f>
        <v>189194.41299999994</v>
      </c>
    </row>
    <row r="9" spans="2:15" ht="12.75">
      <c r="B9" s="1384" t="s">
        <v>3325</v>
      </c>
      <c r="C9" s="1168">
        <v>33866.395</v>
      </c>
      <c r="D9" s="1168"/>
      <c r="E9" s="1168">
        <f>17.2+12.872+0.959</f>
        <v>31.031</v>
      </c>
      <c r="F9" s="1168">
        <v>0</v>
      </c>
      <c r="G9" s="1168">
        <v>867.534</v>
      </c>
      <c r="H9" s="1168">
        <v>5.082</v>
      </c>
      <c r="I9" s="1168">
        <v>153.786</v>
      </c>
      <c r="J9" s="1168">
        <v>9.48</v>
      </c>
      <c r="K9" s="1168">
        <v>0</v>
      </c>
      <c r="L9" s="1168">
        <v>1173.34</v>
      </c>
      <c r="M9" s="1168">
        <v>18.456</v>
      </c>
      <c r="N9" s="1168">
        <v>2267.658</v>
      </c>
      <c r="O9" s="1385">
        <f>SUM(C9:N9)</f>
        <v>38392.762</v>
      </c>
    </row>
    <row r="10" spans="2:15" ht="12.75">
      <c r="B10" s="1386" t="s">
        <v>3638</v>
      </c>
      <c r="C10" s="1148">
        <v>12379.459</v>
      </c>
      <c r="D10" s="1148">
        <v>0</v>
      </c>
      <c r="E10" s="1148">
        <f>20+7.253</f>
        <v>27.253</v>
      </c>
      <c r="F10" s="1148">
        <v>0</v>
      </c>
      <c r="G10" s="1148">
        <v>600.423</v>
      </c>
      <c r="H10" s="1127">
        <v>0</v>
      </c>
      <c r="I10" s="1148">
        <v>38.94</v>
      </c>
      <c r="J10" s="1148">
        <v>0</v>
      </c>
      <c r="K10" s="1148">
        <f>8+1.547</f>
        <v>9.547</v>
      </c>
      <c r="L10" s="1148">
        <v>1.25</v>
      </c>
      <c r="M10" s="1127">
        <v>0</v>
      </c>
      <c r="N10" s="1127">
        <v>248.335</v>
      </c>
      <c r="O10" s="1387">
        <f>SUM(C10:N10)</f>
        <v>13305.207000000002</v>
      </c>
    </row>
    <row r="11" spans="2:15" ht="13.5" thickBot="1">
      <c r="B11" s="1388" t="s">
        <v>3639</v>
      </c>
      <c r="C11" s="1389">
        <v>6978.605</v>
      </c>
      <c r="D11" s="1389">
        <v>3369.2</v>
      </c>
      <c r="E11" s="1389">
        <v>0</v>
      </c>
      <c r="F11" s="1389">
        <v>0</v>
      </c>
      <c r="G11" s="1389">
        <v>72.998</v>
      </c>
      <c r="H11" s="1389">
        <v>1.665</v>
      </c>
      <c r="I11" s="1389">
        <f>501.32+21.364</f>
        <v>522.684</v>
      </c>
      <c r="J11" s="1389">
        <f>0.5+28</f>
        <v>28.5</v>
      </c>
      <c r="K11" s="1389">
        <v>0.555</v>
      </c>
      <c r="L11" s="1389">
        <v>0</v>
      </c>
      <c r="M11" s="1389">
        <v>0</v>
      </c>
      <c r="N11" s="1389">
        <v>192.675</v>
      </c>
      <c r="O11" s="1390">
        <f>SUM(C11:N11)</f>
        <v>11166.882</v>
      </c>
    </row>
    <row r="12" spans="2:15" ht="12.75">
      <c r="B12" s="1391" t="s">
        <v>2695</v>
      </c>
      <c r="C12" s="1392">
        <f>(C6/$C$26)*100</f>
        <v>90.71957815444549</v>
      </c>
      <c r="D12" s="1392">
        <f aca="true" t="shared" si="1" ref="D12:N12">(D6/$C$26)*100</f>
        <v>1.36047370193067</v>
      </c>
      <c r="E12" s="1392">
        <f t="shared" si="1"/>
        <v>0.026058950961627823</v>
      </c>
      <c r="F12" s="1392">
        <f t="shared" si="1"/>
        <v>2.322840631638122</v>
      </c>
      <c r="G12" s="1392">
        <f t="shared" si="1"/>
        <v>0.6691473954315762</v>
      </c>
      <c r="H12" s="1392">
        <f t="shared" si="1"/>
        <v>0.032710164542891</v>
      </c>
      <c r="I12" s="1392">
        <f t="shared" si="1"/>
        <v>0.2869999652145299</v>
      </c>
      <c r="J12" s="1392">
        <f t="shared" si="1"/>
        <v>0.018686081698627833</v>
      </c>
      <c r="K12" s="1392">
        <f t="shared" si="1"/>
        <v>0.004007787628864933</v>
      </c>
      <c r="L12" s="1392">
        <f t="shared" si="1"/>
        <v>0.931888779933913</v>
      </c>
      <c r="M12" s="1392">
        <f t="shared" si="1"/>
        <v>0.5429104164963364</v>
      </c>
      <c r="N12" s="1392">
        <f t="shared" si="1"/>
        <v>3.084697970077387</v>
      </c>
      <c r="O12" s="1392">
        <f>SUM(C12:N12)</f>
        <v>100.00000000000004</v>
      </c>
    </row>
    <row r="13" ht="13.5" thickBot="1"/>
    <row r="14" spans="2:15" ht="12.75">
      <c r="B14" s="1377" t="s">
        <v>3640</v>
      </c>
      <c r="C14" s="1378" t="s">
        <v>3624</v>
      </c>
      <c r="D14" s="1378" t="s">
        <v>3625</v>
      </c>
      <c r="E14" s="1378" t="s">
        <v>3626</v>
      </c>
      <c r="F14" s="1378" t="s">
        <v>3627</v>
      </c>
      <c r="G14" s="1378" t="s">
        <v>3628</v>
      </c>
      <c r="H14" s="1378" t="s">
        <v>3629</v>
      </c>
      <c r="I14" s="1378" t="s">
        <v>3630</v>
      </c>
      <c r="J14" s="1378" t="s">
        <v>3631</v>
      </c>
      <c r="K14" s="1378" t="s">
        <v>3641</v>
      </c>
      <c r="L14" s="1378" t="s">
        <v>3633</v>
      </c>
      <c r="M14" s="1378" t="s">
        <v>3634</v>
      </c>
      <c r="N14" s="1378" t="s">
        <v>3635</v>
      </c>
      <c r="O14" s="1379" t="s">
        <v>2619</v>
      </c>
    </row>
    <row r="15" spans="2:15" ht="13.5" thickBot="1">
      <c r="B15" s="1380"/>
      <c r="C15" s="1393">
        <f>SUM(C17:C21)</f>
        <v>0</v>
      </c>
      <c r="D15" s="1393">
        <f aca="true" t="shared" si="2" ref="D15:O15">SUM(D17:D21)</f>
        <v>944.59</v>
      </c>
      <c r="E15" s="1393">
        <f t="shared" si="2"/>
        <v>10174.220000000001</v>
      </c>
      <c r="F15" s="1393">
        <f t="shared" si="2"/>
        <v>0</v>
      </c>
      <c r="G15" s="1393">
        <f t="shared" si="2"/>
        <v>0</v>
      </c>
      <c r="H15" s="1393">
        <f t="shared" si="2"/>
        <v>11.16</v>
      </c>
      <c r="I15" s="1393">
        <f t="shared" si="2"/>
        <v>0</v>
      </c>
      <c r="J15" s="1393">
        <f t="shared" si="2"/>
        <v>0</v>
      </c>
      <c r="K15" s="1393">
        <f t="shared" si="2"/>
        <v>0</v>
      </c>
      <c r="L15" s="1393">
        <f t="shared" si="2"/>
        <v>30</v>
      </c>
      <c r="M15" s="1393">
        <f t="shared" si="2"/>
        <v>0</v>
      </c>
      <c r="N15" s="1393">
        <f t="shared" si="2"/>
        <v>0</v>
      </c>
      <c r="O15" s="1381">
        <f t="shared" si="2"/>
        <v>11159.97</v>
      </c>
    </row>
    <row r="16" ht="13.5" thickBot="1">
      <c r="B16" t="s">
        <v>3636</v>
      </c>
    </row>
    <row r="17" spans="2:15" ht="12.75">
      <c r="B17" s="1254" t="s">
        <v>2711</v>
      </c>
      <c r="C17" s="1382">
        <v>0</v>
      </c>
      <c r="D17" s="1382">
        <v>743.6</v>
      </c>
      <c r="E17" s="1382">
        <v>43.15</v>
      </c>
      <c r="F17" s="1382">
        <v>0</v>
      </c>
      <c r="G17" s="1382">
        <v>0</v>
      </c>
      <c r="H17" s="1382">
        <v>0</v>
      </c>
      <c r="I17" s="1382">
        <v>0</v>
      </c>
      <c r="J17" s="1382">
        <v>0</v>
      </c>
      <c r="K17" s="1382">
        <v>0</v>
      </c>
      <c r="L17" s="1382">
        <v>0</v>
      </c>
      <c r="M17" s="1382">
        <v>0</v>
      </c>
      <c r="N17" s="1382">
        <v>0</v>
      </c>
      <c r="O17" s="1383">
        <f aca="true" t="shared" si="3" ref="O17:O22">SUM(C17:N17)</f>
        <v>786.75</v>
      </c>
    </row>
    <row r="18" spans="2:15" ht="12.75">
      <c r="B18" s="1384" t="s">
        <v>3501</v>
      </c>
      <c r="C18" s="1168">
        <v>0</v>
      </c>
      <c r="D18" s="1168">
        <v>0</v>
      </c>
      <c r="E18" s="1168">
        <v>324.62</v>
      </c>
      <c r="F18" s="1168">
        <v>0</v>
      </c>
      <c r="G18" s="1168">
        <v>0</v>
      </c>
      <c r="H18" s="1168">
        <v>0</v>
      </c>
      <c r="I18" s="1168">
        <v>0</v>
      </c>
      <c r="J18" s="1168">
        <v>0</v>
      </c>
      <c r="K18" s="1168">
        <v>0</v>
      </c>
      <c r="L18" s="1168">
        <v>0</v>
      </c>
      <c r="M18" s="1168">
        <v>0</v>
      </c>
      <c r="N18" s="1168">
        <v>0</v>
      </c>
      <c r="O18" s="1385">
        <f t="shared" si="3"/>
        <v>324.62</v>
      </c>
    </row>
    <row r="19" spans="2:15" ht="12.75">
      <c r="B19" s="1384" t="s">
        <v>3642</v>
      </c>
      <c r="C19" s="1168">
        <v>0</v>
      </c>
      <c r="D19" s="1168">
        <v>0</v>
      </c>
      <c r="E19" s="1168">
        <v>5971.73</v>
      </c>
      <c r="F19" s="1168">
        <v>0</v>
      </c>
      <c r="G19" s="1168">
        <v>0</v>
      </c>
      <c r="H19" s="1168">
        <v>0</v>
      </c>
      <c r="I19" s="1168">
        <v>0</v>
      </c>
      <c r="J19" s="1168">
        <v>0</v>
      </c>
      <c r="K19" s="1168">
        <v>0</v>
      </c>
      <c r="L19" s="1168">
        <v>0</v>
      </c>
      <c r="M19" s="1168">
        <v>0</v>
      </c>
      <c r="N19" s="1168">
        <v>0</v>
      </c>
      <c r="O19" s="1385">
        <f t="shared" si="3"/>
        <v>5971.73</v>
      </c>
    </row>
    <row r="20" spans="2:15" ht="12.75">
      <c r="B20" s="1384" t="s">
        <v>3643</v>
      </c>
      <c r="C20" s="1168">
        <v>0</v>
      </c>
      <c r="D20" s="1168">
        <v>1</v>
      </c>
      <c r="E20" s="1168">
        <v>3604.02</v>
      </c>
      <c r="F20" s="1168">
        <v>0</v>
      </c>
      <c r="G20" s="1168">
        <v>0</v>
      </c>
      <c r="H20" s="1168">
        <v>0</v>
      </c>
      <c r="I20" s="1168">
        <v>0</v>
      </c>
      <c r="J20" s="1168">
        <v>0</v>
      </c>
      <c r="K20" s="1168">
        <v>0</v>
      </c>
      <c r="L20" s="1168">
        <v>30</v>
      </c>
      <c r="M20" s="1168">
        <v>0</v>
      </c>
      <c r="N20" s="1168">
        <v>0</v>
      </c>
      <c r="O20" s="1385">
        <f t="shared" si="3"/>
        <v>3635.02</v>
      </c>
    </row>
    <row r="21" spans="2:15" ht="13.5" thickBot="1">
      <c r="B21" s="1388" t="s">
        <v>3644</v>
      </c>
      <c r="C21" s="1389">
        <v>0</v>
      </c>
      <c r="D21" s="1389">
        <v>199.99</v>
      </c>
      <c r="E21" s="1389">
        <v>230.7</v>
      </c>
      <c r="F21" s="1389">
        <v>0</v>
      </c>
      <c r="G21" s="1389">
        <v>0</v>
      </c>
      <c r="H21" s="1389">
        <v>11.16</v>
      </c>
      <c r="I21" s="1389">
        <v>0</v>
      </c>
      <c r="J21" s="1389">
        <v>0</v>
      </c>
      <c r="K21" s="1389">
        <v>0</v>
      </c>
      <c r="L21" s="1389">
        <v>0</v>
      </c>
      <c r="M21" s="1389">
        <v>0</v>
      </c>
      <c r="N21" s="1389">
        <v>0</v>
      </c>
      <c r="O21" s="1390">
        <f t="shared" si="3"/>
        <v>441.85</v>
      </c>
    </row>
    <row r="22" spans="2:15" ht="12.75">
      <c r="B22" s="1394" t="s">
        <v>2695</v>
      </c>
      <c r="C22" s="1392">
        <f>(C15/$C$27)*100</f>
        <v>0</v>
      </c>
      <c r="D22" s="1392">
        <f aca="true" t="shared" si="4" ref="D22:N22">(D15/$C$27)*100</f>
        <v>8.464090853290825</v>
      </c>
      <c r="E22" s="1392">
        <f t="shared" si="4"/>
        <v>91.16709095096135</v>
      </c>
      <c r="F22" s="1392">
        <f t="shared" si="4"/>
        <v>0</v>
      </c>
      <c r="G22" s="1392">
        <f t="shared" si="4"/>
        <v>0</v>
      </c>
      <c r="H22" s="1392">
        <f t="shared" si="4"/>
        <v>0.10000026881792692</v>
      </c>
      <c r="I22" s="1392">
        <f t="shared" si="4"/>
        <v>0</v>
      </c>
      <c r="J22" s="1392">
        <f t="shared" si="4"/>
        <v>0</v>
      </c>
      <c r="K22" s="1392">
        <f t="shared" si="4"/>
        <v>0</v>
      </c>
      <c r="L22" s="1392">
        <f t="shared" si="4"/>
        <v>0.2688179269299111</v>
      </c>
      <c r="M22" s="1392">
        <f t="shared" si="4"/>
        <v>0</v>
      </c>
      <c r="N22" s="1392">
        <f t="shared" si="4"/>
        <v>0</v>
      </c>
      <c r="O22" s="1392">
        <f t="shared" si="3"/>
        <v>100.00000000000001</v>
      </c>
    </row>
    <row r="24" ht="12.75">
      <c r="B24" t="s">
        <v>3645</v>
      </c>
    </row>
    <row r="26" spans="2:3" ht="12.75">
      <c r="B26" t="s">
        <v>3646</v>
      </c>
      <c r="C26" s="392">
        <f>O6</f>
        <v>252059.26399999994</v>
      </c>
    </row>
    <row r="27" spans="2:3" ht="12.75">
      <c r="B27" t="s">
        <v>3647</v>
      </c>
      <c r="C27" s="392">
        <f>O15</f>
        <v>11159.97</v>
      </c>
    </row>
    <row r="28" spans="2:3" ht="12.75">
      <c r="B28" t="s">
        <v>2784</v>
      </c>
      <c r="C28" s="392">
        <f>SUM(C26:C27)</f>
        <v>263219.23399999994</v>
      </c>
    </row>
    <row r="31" spans="2:15" ht="12.75">
      <c r="B31" t="s">
        <v>3708</v>
      </c>
      <c r="K31" s="392" t="s">
        <v>3602</v>
      </c>
      <c r="N31" s="1889" t="s">
        <v>3510</v>
      </c>
      <c r="O31" s="1889"/>
    </row>
  </sheetData>
  <mergeCells count="2">
    <mergeCell ref="B3:O3"/>
    <mergeCell ref="N31:O31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&amp;C&amp;P+130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9"/>
  <sheetViews>
    <sheetView workbookViewId="0" topLeftCell="B1">
      <selection activeCell="A2" sqref="A2:F19"/>
    </sheetView>
  </sheetViews>
  <sheetFormatPr defaultColWidth="9.00390625" defaultRowHeight="12.75"/>
  <cols>
    <col min="1" max="1" width="28.375" style="0" customWidth="1"/>
    <col min="2" max="2" width="23.375" style="0" customWidth="1"/>
    <col min="3" max="3" width="20.50390625" style="0" customWidth="1"/>
    <col min="4" max="4" width="20.375" style="0" customWidth="1"/>
    <col min="5" max="5" width="25.875" style="0" customWidth="1"/>
    <col min="6" max="6" width="25.625" style="0" customWidth="1"/>
  </cols>
  <sheetData>
    <row r="1" spans="1:7" ht="15">
      <c r="A1" s="1890"/>
      <c r="B1" s="1890"/>
      <c r="C1" s="1395"/>
      <c r="D1" s="1395"/>
      <c r="E1" s="1395"/>
      <c r="F1" s="1396"/>
      <c r="G1" s="1397"/>
    </row>
    <row r="2" spans="1:7" ht="15">
      <c r="A2" s="1423" t="s">
        <v>3513</v>
      </c>
      <c r="B2" s="1398"/>
      <c r="C2" s="1395"/>
      <c r="D2" s="1395"/>
      <c r="E2" s="1395"/>
      <c r="F2" s="1396"/>
      <c r="G2" s="1397"/>
    </row>
    <row r="3" spans="1:7" ht="15">
      <c r="A3" s="1423"/>
      <c r="B3" s="1398"/>
      <c r="C3" s="1395"/>
      <c r="D3" s="1395"/>
      <c r="E3" s="1395"/>
      <c r="F3" s="1424" t="s">
        <v>3709</v>
      </c>
      <c r="G3" s="1397"/>
    </row>
    <row r="4" spans="1:7" ht="17.25">
      <c r="A4" s="1891" t="s">
        <v>3714</v>
      </c>
      <c r="B4" s="1891"/>
      <c r="C4" s="1891"/>
      <c r="D4" s="1891"/>
      <c r="E4" s="1891"/>
      <c r="F4" s="1891"/>
      <c r="G4" s="1399"/>
    </row>
    <row r="5" spans="1:7" ht="15.75" thickBot="1">
      <c r="A5" s="1396"/>
      <c r="B5" s="1396"/>
      <c r="C5" s="1396"/>
      <c r="D5" s="1396"/>
      <c r="E5" s="1396"/>
      <c r="F5" s="1424" t="s">
        <v>2597</v>
      </c>
      <c r="G5" s="1396"/>
    </row>
    <row r="6" spans="1:7" ht="15">
      <c r="A6" s="1400" t="s">
        <v>3648</v>
      </c>
      <c r="B6" s="1401"/>
      <c r="C6" s="1402" t="s">
        <v>3649</v>
      </c>
      <c r="D6" s="1403"/>
      <c r="E6" s="1402" t="s">
        <v>3650</v>
      </c>
      <c r="F6" s="1403"/>
      <c r="G6" s="1396"/>
    </row>
    <row r="7" spans="1:7" ht="15.75" thickBot="1">
      <c r="A7" s="1404" t="s">
        <v>3651</v>
      </c>
      <c r="B7" s="1405" t="s">
        <v>3652</v>
      </c>
      <c r="C7" s="1404" t="s">
        <v>3651</v>
      </c>
      <c r="D7" s="1405" t="s">
        <v>3652</v>
      </c>
      <c r="E7" s="1404" t="s">
        <v>3651</v>
      </c>
      <c r="F7" s="1406" t="s">
        <v>3652</v>
      </c>
      <c r="G7" s="1396"/>
    </row>
    <row r="8" spans="1:7" ht="15.75" thickBot="1">
      <c r="A8" s="1407">
        <v>23175</v>
      </c>
      <c r="B8" s="1408">
        <v>1342444540</v>
      </c>
      <c r="C8" s="1407">
        <v>2466</v>
      </c>
      <c r="D8" s="1408">
        <v>76018719</v>
      </c>
      <c r="E8" s="1407">
        <v>25</v>
      </c>
      <c r="F8" s="1408">
        <v>139800</v>
      </c>
      <c r="G8" s="1396"/>
    </row>
    <row r="9" spans="1:111" s="560" customFormat="1" ht="12.75">
      <c r="A9" s="1409" t="s">
        <v>3653</v>
      </c>
      <c r="B9" s="1409"/>
      <c r="C9" s="1409" t="s">
        <v>3654</v>
      </c>
      <c r="D9" s="1409"/>
      <c r="E9" s="1409" t="s">
        <v>3655</v>
      </c>
      <c r="F9" s="1410"/>
      <c r="G9" s="1425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</row>
    <row r="10" spans="1:7" ht="12.75">
      <c r="A10" s="1411"/>
      <c r="B10" s="1411"/>
      <c r="C10" s="1411"/>
      <c r="D10" s="1411"/>
      <c r="E10" s="1411"/>
      <c r="F10" s="1411"/>
      <c r="G10" s="1411"/>
    </row>
    <row r="11" spans="1:7" ht="15.75" thickBot="1">
      <c r="A11" s="1396"/>
      <c r="B11" s="1396"/>
      <c r="C11" s="1396"/>
      <c r="D11" s="1396"/>
      <c r="E11" s="1396"/>
      <c r="F11" s="1396"/>
      <c r="G11" s="1396"/>
    </row>
    <row r="12" spans="1:7" ht="46.5">
      <c r="A12" s="1402" t="s">
        <v>3656</v>
      </c>
      <c r="B12" s="1403"/>
      <c r="C12" s="1402" t="s">
        <v>3657</v>
      </c>
      <c r="D12" s="1403"/>
      <c r="E12" s="1402" t="s">
        <v>3658</v>
      </c>
      <c r="F12" s="1403"/>
      <c r="G12" s="1396"/>
    </row>
    <row r="13" spans="1:7" ht="15.75" thickBot="1">
      <c r="A13" s="1404" t="s">
        <v>3651</v>
      </c>
      <c r="B13" s="1405" t="s">
        <v>3652</v>
      </c>
      <c r="C13" s="1404" t="s">
        <v>3651</v>
      </c>
      <c r="D13" s="1405" t="s">
        <v>3652</v>
      </c>
      <c r="E13" s="1404" t="s">
        <v>3651</v>
      </c>
      <c r="F13" s="1405" t="s">
        <v>3652</v>
      </c>
      <c r="G13" s="1396"/>
    </row>
    <row r="14" spans="1:7" ht="15.75" thickBot="1">
      <c r="A14" s="1407">
        <v>250</v>
      </c>
      <c r="B14" s="1408">
        <v>264405060</v>
      </c>
      <c r="C14" s="1407">
        <v>726</v>
      </c>
      <c r="D14" s="1739">
        <v>3735790</v>
      </c>
      <c r="E14" s="1407">
        <v>0</v>
      </c>
      <c r="F14" s="1408">
        <v>0</v>
      </c>
      <c r="G14" s="1396"/>
    </row>
    <row r="15" spans="1:75" s="560" customFormat="1" ht="15">
      <c r="A15" s="1412" t="s">
        <v>3659</v>
      </c>
      <c r="B15" s="1412"/>
      <c r="C15" s="1412" t="s">
        <v>3660</v>
      </c>
      <c r="D15" s="1413"/>
      <c r="E15" s="1412" t="s">
        <v>3661</v>
      </c>
      <c r="F15" s="1414"/>
      <c r="G15" s="1426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</row>
    <row r="16" spans="1:7" ht="12.75">
      <c r="A16" s="1415" t="s">
        <v>3710</v>
      </c>
      <c r="B16" s="1415"/>
      <c r="C16" s="1411"/>
      <c r="D16" s="1411"/>
      <c r="E16" s="1411"/>
      <c r="F16" s="1411"/>
      <c r="G16" s="1411"/>
    </row>
    <row r="17" spans="1:7" ht="12.75">
      <c r="A17" s="1415"/>
      <c r="B17" s="1415"/>
      <c r="C17" s="1411"/>
      <c r="D17" s="1411"/>
      <c r="E17" s="1411"/>
      <c r="F17" s="1411"/>
      <c r="G17" s="1411"/>
    </row>
    <row r="18" spans="1:7" ht="12.75">
      <c r="A18" s="1411"/>
      <c r="B18" s="1415"/>
      <c r="C18" s="1411"/>
      <c r="D18" s="1411"/>
      <c r="E18" s="1411"/>
      <c r="F18" s="1411"/>
      <c r="G18" s="1411"/>
    </row>
    <row r="19" spans="1:7" ht="15">
      <c r="A19" t="s">
        <v>3708</v>
      </c>
      <c r="B19" s="1416"/>
      <c r="C19" s="1396"/>
      <c r="D19" s="392" t="s">
        <v>3602</v>
      </c>
      <c r="E19" s="392"/>
      <c r="F19" s="1120" t="s">
        <v>3510</v>
      </c>
      <c r="G19" s="1120"/>
    </row>
  </sheetData>
  <mergeCells count="2">
    <mergeCell ref="A1:B1"/>
    <mergeCell ref="A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1" r:id="rId1"/>
  <headerFooter alignWithMargins="0">
    <oddFooter>&amp;C&amp;P+131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B29">
      <selection activeCell="C49" sqref="C49"/>
    </sheetView>
  </sheetViews>
  <sheetFormatPr defaultColWidth="9.00390625" defaultRowHeight="12.75"/>
  <cols>
    <col min="1" max="1" width="3.50390625" style="0" hidden="1" customWidth="1"/>
    <col min="2" max="2" width="48.50390625" style="0" customWidth="1"/>
    <col min="3" max="7" width="17.625" style="0" customWidth="1"/>
    <col min="8" max="9" width="19.50390625" style="0" customWidth="1"/>
    <col min="10" max="16" width="17.625" style="0" customWidth="1"/>
    <col min="17" max="18" width="19.50390625" style="0" customWidth="1"/>
  </cols>
  <sheetData>
    <row r="1" spans="2:14" ht="20.25" customHeight="1" hidden="1">
      <c r="B1" s="266"/>
      <c r="H1" s="271"/>
      <c r="N1" s="271"/>
    </row>
    <row r="2" spans="2:14" ht="19.5" customHeight="1" hidden="1">
      <c r="B2" s="24"/>
      <c r="H2" s="271"/>
      <c r="N2" s="271"/>
    </row>
    <row r="3" spans="2:14" ht="19.5" customHeight="1" hidden="1">
      <c r="B3" s="1202"/>
      <c r="C3" s="1203"/>
      <c r="D3" s="1203"/>
      <c r="E3" s="1204"/>
      <c r="F3" s="1204"/>
      <c r="G3" s="1204"/>
      <c r="H3" s="1205"/>
      <c r="J3" s="1203"/>
      <c r="K3" s="1203"/>
      <c r="L3" s="1203"/>
      <c r="M3" s="1203"/>
      <c r="N3" s="1205"/>
    </row>
    <row r="4" spans="2:18" ht="17.25" customHeight="1">
      <c r="B4" s="1484" t="s">
        <v>3513</v>
      </c>
      <c r="C4" s="1207"/>
      <c r="D4" s="1207"/>
      <c r="E4" s="1208"/>
      <c r="F4" s="1208"/>
      <c r="G4" s="1208"/>
      <c r="H4" s="1209"/>
      <c r="J4" s="1207"/>
      <c r="K4" s="1207"/>
      <c r="L4" s="1207"/>
      <c r="M4" s="1207"/>
      <c r="N4" s="1209"/>
      <c r="O4" s="1210"/>
      <c r="P4" s="1210"/>
      <c r="R4" s="1342" t="s">
        <v>3711</v>
      </c>
    </row>
    <row r="5" spans="2:18" ht="33" customHeight="1">
      <c r="B5" s="1898" t="s">
        <v>3571</v>
      </c>
      <c r="C5" s="1898"/>
      <c r="D5" s="1898"/>
      <c r="E5" s="1898"/>
      <c r="F5" s="1898"/>
      <c r="G5" s="1898"/>
      <c r="H5" s="1898"/>
      <c r="I5" s="1898"/>
      <c r="J5" s="1898"/>
      <c r="K5" s="1898"/>
      <c r="L5" s="1898"/>
      <c r="M5" s="1898"/>
      <c r="N5" s="1898"/>
      <c r="O5" s="1898"/>
      <c r="P5" s="1898"/>
      <c r="Q5" s="1898"/>
      <c r="R5" s="1898"/>
    </row>
    <row r="6" spans="2:18" ht="18.75" customHeight="1" thickBot="1">
      <c r="B6" s="1206"/>
      <c r="C6" s="1207"/>
      <c r="D6" s="1207"/>
      <c r="E6" s="1208"/>
      <c r="F6" s="1208"/>
      <c r="G6" s="1208"/>
      <c r="H6" s="1209"/>
      <c r="J6" s="1207"/>
      <c r="K6" s="1207"/>
      <c r="L6" s="1207"/>
      <c r="M6" s="1207"/>
      <c r="N6" s="1209"/>
      <c r="Q6" s="1211"/>
      <c r="R6" s="1485" t="s">
        <v>2597</v>
      </c>
    </row>
    <row r="7" spans="1:18" ht="34.5" customHeight="1">
      <c r="A7" t="s">
        <v>2733</v>
      </c>
      <c r="B7" s="1427" t="s">
        <v>2583</v>
      </c>
      <c r="C7" s="1892" t="s">
        <v>2734</v>
      </c>
      <c r="D7" s="1893"/>
      <c r="E7" s="1893"/>
      <c r="F7" s="1893"/>
      <c r="G7" s="1893"/>
      <c r="H7" s="1893"/>
      <c r="I7" s="1894"/>
      <c r="J7" s="1895" t="s">
        <v>3572</v>
      </c>
      <c r="K7" s="1896"/>
      <c r="L7" s="1896"/>
      <c r="M7" s="1896"/>
      <c r="N7" s="1896"/>
      <c r="O7" s="1897"/>
      <c r="P7" s="1428" t="s">
        <v>3573</v>
      </c>
      <c r="Q7" s="1429" t="s">
        <v>2619</v>
      </c>
      <c r="R7" s="1430" t="s">
        <v>2615</v>
      </c>
    </row>
    <row r="8" spans="2:18" ht="76.5" customHeight="1" thickBot="1">
      <c r="B8" s="1431"/>
      <c r="C8" s="1432" t="s">
        <v>3574</v>
      </c>
      <c r="D8" s="1433" t="s">
        <v>3575</v>
      </c>
      <c r="E8" s="1434" t="s">
        <v>3576</v>
      </c>
      <c r="F8" s="1434" t="s">
        <v>2578</v>
      </c>
      <c r="G8" s="1434" t="s">
        <v>3577</v>
      </c>
      <c r="H8" s="1434" t="s">
        <v>3578</v>
      </c>
      <c r="I8" s="1435" t="s">
        <v>3579</v>
      </c>
      <c r="J8" s="1436" t="s">
        <v>3574</v>
      </c>
      <c r="K8" s="1433" t="s">
        <v>2578</v>
      </c>
      <c r="L8" s="1434" t="s">
        <v>3577</v>
      </c>
      <c r="M8" s="1434" t="s">
        <v>3580</v>
      </c>
      <c r="N8" s="1434" t="s">
        <v>3581</v>
      </c>
      <c r="O8" s="1684" t="s">
        <v>3744</v>
      </c>
      <c r="P8" s="1437" t="s">
        <v>3582</v>
      </c>
      <c r="Q8" s="1438" t="s">
        <v>3583</v>
      </c>
      <c r="R8" s="1438" t="s">
        <v>3578</v>
      </c>
    </row>
    <row r="9" spans="2:18" ht="24.75" customHeight="1">
      <c r="B9" s="1439" t="s">
        <v>2641</v>
      </c>
      <c r="C9" s="1440">
        <v>10032255</v>
      </c>
      <c r="D9" s="1441">
        <f>7541278+26466</f>
        <v>7567744</v>
      </c>
      <c r="E9" s="1441"/>
      <c r="F9" s="1441"/>
      <c r="G9" s="1441"/>
      <c r="H9" s="1441">
        <f>344206722.23+547000</f>
        <v>344753722.23</v>
      </c>
      <c r="I9" s="1442">
        <f>SUM(C9:H9)</f>
        <v>362353721.23</v>
      </c>
      <c r="J9" s="1443">
        <v>373006</v>
      </c>
      <c r="K9" s="1441">
        <v>12248162</v>
      </c>
      <c r="L9" s="1441"/>
      <c r="M9" s="1441"/>
      <c r="N9" s="1441">
        <v>2103050</v>
      </c>
      <c r="O9" s="1442">
        <f>SUM(J9:N9)</f>
        <v>14724218</v>
      </c>
      <c r="P9" s="1444">
        <v>141600</v>
      </c>
      <c r="Q9" s="1445">
        <f>I9+O9+P9</f>
        <v>377219539.23</v>
      </c>
      <c r="R9" s="1444">
        <f>H9+N9+P9</f>
        <v>346998372.23</v>
      </c>
    </row>
    <row r="10" spans="2:18" ht="24.75" customHeight="1">
      <c r="B10" s="1446" t="s">
        <v>3584</v>
      </c>
      <c r="C10" s="1447"/>
      <c r="D10" s="1448"/>
      <c r="E10" s="1448"/>
      <c r="F10" s="1441"/>
      <c r="G10" s="1441"/>
      <c r="H10" s="1441"/>
      <c r="I10" s="1449">
        <f>SUM(C10:H10)</f>
        <v>0</v>
      </c>
      <c r="J10" s="1450"/>
      <c r="K10" s="1448"/>
      <c r="L10" s="1441"/>
      <c r="M10" s="1441"/>
      <c r="N10" s="1448"/>
      <c r="O10" s="1449">
        <f>SUM(J10:N10)</f>
        <v>0</v>
      </c>
      <c r="P10" s="1451"/>
      <c r="Q10" s="1452">
        <f>I10+O10+P10</f>
        <v>0</v>
      </c>
      <c r="R10" s="1444">
        <f>H10+N10+P10</f>
        <v>0</v>
      </c>
    </row>
    <row r="11" spans="2:18" ht="24.75" customHeight="1">
      <c r="B11" s="1446" t="s">
        <v>2643</v>
      </c>
      <c r="C11" s="1447"/>
      <c r="D11" s="1448"/>
      <c r="E11" s="1448"/>
      <c r="F11" s="1448"/>
      <c r="G11" s="1448"/>
      <c r="H11" s="1448">
        <v>323207428</v>
      </c>
      <c r="I11" s="1449">
        <f>SUM(C11:H11)</f>
        <v>323207428</v>
      </c>
      <c r="J11" s="1450"/>
      <c r="K11" s="1448"/>
      <c r="L11" s="1448"/>
      <c r="M11" s="1448"/>
      <c r="N11" s="1448"/>
      <c r="O11" s="1449">
        <f>SUM(J11:N11)</f>
        <v>0</v>
      </c>
      <c r="P11" s="1451"/>
      <c r="Q11" s="1452">
        <f>I11+O11+P11</f>
        <v>323207428</v>
      </c>
      <c r="R11" s="1444">
        <f>H11+N11+P11</f>
        <v>323207428</v>
      </c>
    </row>
    <row r="12" spans="2:18" ht="24.75" customHeight="1">
      <c r="B12" s="1446" t="s">
        <v>3310</v>
      </c>
      <c r="C12" s="1447"/>
      <c r="D12" s="1448"/>
      <c r="E12" s="1448"/>
      <c r="F12" s="1448"/>
      <c r="G12" s="1448"/>
      <c r="H12" s="1448">
        <v>15889000</v>
      </c>
      <c r="I12" s="1449">
        <f>SUM(C12:H12)</f>
        <v>15889000</v>
      </c>
      <c r="J12" s="1450"/>
      <c r="K12" s="1448"/>
      <c r="L12" s="1448"/>
      <c r="M12" s="1448"/>
      <c r="N12" s="1448"/>
      <c r="O12" s="1449">
        <f>SUM(J12:N12)</f>
        <v>0</v>
      </c>
      <c r="P12" s="1451"/>
      <c r="Q12" s="1452">
        <f>I12+O12+P12</f>
        <v>15889000</v>
      </c>
      <c r="R12" s="1444">
        <f>H12+N12+P12</f>
        <v>15889000</v>
      </c>
    </row>
    <row r="13" spans="2:18" ht="24.75" customHeight="1">
      <c r="B13" s="1453" t="s">
        <v>2645</v>
      </c>
      <c r="C13" s="1447">
        <v>68410</v>
      </c>
      <c r="D13" s="1448"/>
      <c r="E13" s="1448"/>
      <c r="F13" s="1448"/>
      <c r="G13" s="1448">
        <v>200000</v>
      </c>
      <c r="H13" s="1448">
        <v>531681.48</v>
      </c>
      <c r="I13" s="1449">
        <f>SUM(C13:H13)</f>
        <v>800091.48</v>
      </c>
      <c r="J13" s="1450"/>
      <c r="K13" s="1448"/>
      <c r="L13" s="1448">
        <v>575587.1</v>
      </c>
      <c r="M13" s="1448"/>
      <c r="N13" s="1448"/>
      <c r="O13" s="1449">
        <f>SUM(J13:N13)</f>
        <v>575587.1</v>
      </c>
      <c r="P13" s="1451"/>
      <c r="Q13" s="1452">
        <f>I13+O13+P13</f>
        <v>1375678.58</v>
      </c>
      <c r="R13" s="1444">
        <f>H13+N13+P13</f>
        <v>531681.48</v>
      </c>
    </row>
    <row r="14" spans="2:18" ht="24.75" customHeight="1" thickBot="1">
      <c r="B14" s="1454" t="s">
        <v>3142</v>
      </c>
      <c r="C14" s="1455">
        <f aca="true" t="shared" si="0" ref="C14:R14">SUM(C9:C13)</f>
        <v>10100665</v>
      </c>
      <c r="D14" s="1456">
        <f t="shared" si="0"/>
        <v>7567744</v>
      </c>
      <c r="E14" s="1456">
        <f t="shared" si="0"/>
        <v>0</v>
      </c>
      <c r="F14" s="1456">
        <f t="shared" si="0"/>
        <v>0</v>
      </c>
      <c r="G14" s="1456">
        <f t="shared" si="0"/>
        <v>200000</v>
      </c>
      <c r="H14" s="1456">
        <f>SUM(H9:H13)</f>
        <v>684381831.71</v>
      </c>
      <c r="I14" s="1457">
        <f t="shared" si="0"/>
        <v>702250240.71</v>
      </c>
      <c r="J14" s="1458">
        <f t="shared" si="0"/>
        <v>373006</v>
      </c>
      <c r="K14" s="1459">
        <f t="shared" si="0"/>
        <v>12248162</v>
      </c>
      <c r="L14" s="1456">
        <f t="shared" si="0"/>
        <v>575587.1</v>
      </c>
      <c r="M14" s="1456">
        <f t="shared" si="0"/>
        <v>0</v>
      </c>
      <c r="N14" s="1456">
        <f t="shared" si="0"/>
        <v>2103050</v>
      </c>
      <c r="O14" s="1457">
        <f t="shared" si="0"/>
        <v>15299805.1</v>
      </c>
      <c r="P14" s="1457">
        <f t="shared" si="0"/>
        <v>141600</v>
      </c>
      <c r="Q14" s="1460">
        <f t="shared" si="0"/>
        <v>717691645.8100001</v>
      </c>
      <c r="R14" s="1460">
        <f t="shared" si="0"/>
        <v>686626481.71</v>
      </c>
    </row>
    <row r="15" spans="2:18" ht="24.75" customHeight="1">
      <c r="B15" s="1446" t="s">
        <v>3585</v>
      </c>
      <c r="C15" s="1440">
        <v>175000</v>
      </c>
      <c r="D15" s="1441"/>
      <c r="E15" s="1441">
        <v>20000</v>
      </c>
      <c r="F15" s="1441"/>
      <c r="G15" s="1441"/>
      <c r="H15" s="1448">
        <v>367374.2</v>
      </c>
      <c r="I15" s="1449">
        <f aca="true" t="shared" si="1" ref="I15:I22">SUM(C15:H15)</f>
        <v>562374.2</v>
      </c>
      <c r="J15" s="1443"/>
      <c r="K15" s="1441"/>
      <c r="L15" s="1441"/>
      <c r="M15" s="1441"/>
      <c r="N15" s="1441"/>
      <c r="O15" s="1449">
        <f aca="true" t="shared" si="2" ref="O15:O22">SUM(J15:N15)</f>
        <v>0</v>
      </c>
      <c r="P15" s="1461"/>
      <c r="Q15" s="1462">
        <f aca="true" t="shared" si="3" ref="Q15:Q22">I15+O15+P15</f>
        <v>562374.2</v>
      </c>
      <c r="R15" s="1463">
        <f aca="true" t="shared" si="4" ref="R15:R22">H15+N15+P15</f>
        <v>367374.2</v>
      </c>
    </row>
    <row r="16" spans="2:18" ht="24.75" customHeight="1">
      <c r="B16" s="1446" t="s">
        <v>2648</v>
      </c>
      <c r="C16" s="1447"/>
      <c r="D16" s="1448"/>
      <c r="E16" s="1448"/>
      <c r="F16" s="1448"/>
      <c r="G16" s="1448"/>
      <c r="H16" s="1448">
        <v>21204.55</v>
      </c>
      <c r="I16" s="1449">
        <f t="shared" si="1"/>
        <v>21204.55</v>
      </c>
      <c r="J16" s="1450"/>
      <c r="K16" s="1448"/>
      <c r="L16" s="1448"/>
      <c r="M16" s="1448"/>
      <c r="N16" s="1448"/>
      <c r="O16" s="1449">
        <f t="shared" si="2"/>
        <v>0</v>
      </c>
      <c r="P16" s="1461"/>
      <c r="Q16" s="1464">
        <f t="shared" si="3"/>
        <v>21204.55</v>
      </c>
      <c r="R16" s="1465">
        <f t="shared" si="4"/>
        <v>21204.55</v>
      </c>
    </row>
    <row r="17" spans="2:18" ht="24.75" customHeight="1">
      <c r="B17" s="1446" t="s">
        <v>2649</v>
      </c>
      <c r="C17" s="1447"/>
      <c r="D17" s="1448"/>
      <c r="E17" s="1448"/>
      <c r="F17" s="1448"/>
      <c r="G17" s="1448"/>
      <c r="H17" s="1448">
        <v>14158.2</v>
      </c>
      <c r="I17" s="1449">
        <f t="shared" si="1"/>
        <v>14158.2</v>
      </c>
      <c r="J17" s="1450"/>
      <c r="K17" s="1448"/>
      <c r="L17" s="1448"/>
      <c r="M17" s="1448"/>
      <c r="N17" s="1448"/>
      <c r="O17" s="1449">
        <f t="shared" si="2"/>
        <v>0</v>
      </c>
      <c r="P17" s="1461"/>
      <c r="Q17" s="1464">
        <f t="shared" si="3"/>
        <v>14158.2</v>
      </c>
      <c r="R17" s="1465">
        <f t="shared" si="4"/>
        <v>14158.2</v>
      </c>
    </row>
    <row r="18" spans="2:18" ht="24.75" customHeight="1">
      <c r="B18" s="1446" t="s">
        <v>2650</v>
      </c>
      <c r="C18" s="1447"/>
      <c r="D18" s="1448"/>
      <c r="E18" s="1448"/>
      <c r="F18" s="1448"/>
      <c r="G18" s="1448"/>
      <c r="H18" s="1448">
        <v>111410.7</v>
      </c>
      <c r="I18" s="1449">
        <f t="shared" si="1"/>
        <v>111410.7</v>
      </c>
      <c r="J18" s="1450"/>
      <c r="K18" s="1448"/>
      <c r="L18" s="1448"/>
      <c r="M18" s="1448"/>
      <c r="N18" s="1448"/>
      <c r="O18" s="1449">
        <f t="shared" si="2"/>
        <v>0</v>
      </c>
      <c r="P18" s="1461"/>
      <c r="Q18" s="1464">
        <f t="shared" si="3"/>
        <v>111410.7</v>
      </c>
      <c r="R18" s="1465">
        <f t="shared" si="4"/>
        <v>111410.7</v>
      </c>
    </row>
    <row r="19" spans="2:18" ht="24.75" customHeight="1">
      <c r="B19" s="1446" t="s">
        <v>2651</v>
      </c>
      <c r="C19" s="1447"/>
      <c r="D19" s="1448"/>
      <c r="E19" s="1448"/>
      <c r="F19" s="1448"/>
      <c r="G19" s="1448"/>
      <c r="H19" s="1448">
        <v>0</v>
      </c>
      <c r="I19" s="1449">
        <f t="shared" si="1"/>
        <v>0</v>
      </c>
      <c r="J19" s="1450"/>
      <c r="K19" s="1448"/>
      <c r="L19" s="1448"/>
      <c r="M19" s="1448"/>
      <c r="N19" s="1448"/>
      <c r="O19" s="1449">
        <f t="shared" si="2"/>
        <v>0</v>
      </c>
      <c r="P19" s="1461"/>
      <c r="Q19" s="1464">
        <f t="shared" si="3"/>
        <v>0</v>
      </c>
      <c r="R19" s="1465">
        <f t="shared" si="4"/>
        <v>0</v>
      </c>
    </row>
    <row r="20" spans="2:18" ht="24.75" customHeight="1">
      <c r="B20" s="1446" t="s">
        <v>2652</v>
      </c>
      <c r="C20" s="1447"/>
      <c r="D20" s="1448"/>
      <c r="E20" s="1448"/>
      <c r="F20" s="1448"/>
      <c r="G20" s="1448"/>
      <c r="H20" s="1448">
        <v>0</v>
      </c>
      <c r="I20" s="1449">
        <f t="shared" si="1"/>
        <v>0</v>
      </c>
      <c r="J20" s="1450"/>
      <c r="K20" s="1448"/>
      <c r="L20" s="1448"/>
      <c r="M20" s="1448"/>
      <c r="N20" s="1448"/>
      <c r="O20" s="1449">
        <f t="shared" si="2"/>
        <v>0</v>
      </c>
      <c r="P20" s="1461"/>
      <c r="Q20" s="1464">
        <f t="shared" si="3"/>
        <v>0</v>
      </c>
      <c r="R20" s="1465">
        <f t="shared" si="4"/>
        <v>0</v>
      </c>
    </row>
    <row r="21" spans="2:18" ht="24.75" customHeight="1">
      <c r="B21" s="1446" t="s">
        <v>2653</v>
      </c>
      <c r="C21" s="1447"/>
      <c r="D21" s="1448">
        <v>21227</v>
      </c>
      <c r="E21" s="1448"/>
      <c r="F21" s="1448"/>
      <c r="G21" s="1448"/>
      <c r="H21" s="1448">
        <v>28050</v>
      </c>
      <c r="I21" s="1449">
        <f t="shared" si="1"/>
        <v>49277</v>
      </c>
      <c r="J21" s="1450"/>
      <c r="K21" s="1448"/>
      <c r="L21" s="1448"/>
      <c r="M21" s="1448"/>
      <c r="N21" s="1448"/>
      <c r="O21" s="1449">
        <f t="shared" si="2"/>
        <v>0</v>
      </c>
      <c r="P21" s="1461"/>
      <c r="Q21" s="1464">
        <f t="shared" si="3"/>
        <v>49277</v>
      </c>
      <c r="R21" s="1465">
        <f t="shared" si="4"/>
        <v>28050</v>
      </c>
    </row>
    <row r="22" spans="2:18" ht="24.75" customHeight="1">
      <c r="B22" s="1446" t="s">
        <v>2699</v>
      </c>
      <c r="C22" s="1447"/>
      <c r="D22" s="1448"/>
      <c r="E22" s="1448"/>
      <c r="F22" s="1448"/>
      <c r="G22" s="1448"/>
      <c r="H22" s="1448">
        <v>54456.1</v>
      </c>
      <c r="I22" s="1449">
        <f t="shared" si="1"/>
        <v>54456.1</v>
      </c>
      <c r="J22" s="1450"/>
      <c r="K22" s="1448"/>
      <c r="L22" s="1448"/>
      <c r="M22" s="1448"/>
      <c r="N22" s="1448"/>
      <c r="O22" s="1449">
        <f t="shared" si="2"/>
        <v>0</v>
      </c>
      <c r="P22" s="1461"/>
      <c r="Q22" s="1464">
        <f t="shared" si="3"/>
        <v>54456.1</v>
      </c>
      <c r="R22" s="1465">
        <f t="shared" si="4"/>
        <v>54456.1</v>
      </c>
    </row>
    <row r="23" spans="2:18" ht="24.75" customHeight="1">
      <c r="B23" s="1466" t="s">
        <v>3586</v>
      </c>
      <c r="C23" s="1467">
        <f aca="true" t="shared" si="5" ref="C23:R23">SUM(C15:C22)</f>
        <v>175000</v>
      </c>
      <c r="D23" s="1468">
        <f t="shared" si="5"/>
        <v>21227</v>
      </c>
      <c r="E23" s="1469">
        <f t="shared" si="5"/>
        <v>20000</v>
      </c>
      <c r="F23" s="1469">
        <f t="shared" si="5"/>
        <v>0</v>
      </c>
      <c r="G23" s="1469">
        <f t="shared" si="5"/>
        <v>0</v>
      </c>
      <c r="H23" s="1469">
        <f t="shared" si="5"/>
        <v>596653.75</v>
      </c>
      <c r="I23" s="1470">
        <f t="shared" si="5"/>
        <v>812880.7499999999</v>
      </c>
      <c r="J23" s="1468">
        <f t="shared" si="5"/>
        <v>0</v>
      </c>
      <c r="K23" s="1468">
        <f t="shared" si="5"/>
        <v>0</v>
      </c>
      <c r="L23" s="1469">
        <f t="shared" si="5"/>
        <v>0</v>
      </c>
      <c r="M23" s="1469">
        <f t="shared" si="5"/>
        <v>0</v>
      </c>
      <c r="N23" s="1469">
        <f t="shared" si="5"/>
        <v>0</v>
      </c>
      <c r="O23" s="1470">
        <f t="shared" si="5"/>
        <v>0</v>
      </c>
      <c r="P23" s="1471">
        <f t="shared" si="5"/>
        <v>0</v>
      </c>
      <c r="Q23" s="1472">
        <f t="shared" si="5"/>
        <v>812880.7499999999</v>
      </c>
      <c r="R23" s="1472">
        <f t="shared" si="5"/>
        <v>596653.75</v>
      </c>
    </row>
    <row r="24" spans="2:18" ht="24.75" customHeight="1">
      <c r="B24" s="1446" t="s">
        <v>2655</v>
      </c>
      <c r="C24" s="1447">
        <v>572467</v>
      </c>
      <c r="D24" s="1448">
        <v>6667</v>
      </c>
      <c r="E24" s="1448">
        <v>513932</v>
      </c>
      <c r="F24" s="1441"/>
      <c r="G24" s="1441"/>
      <c r="H24" s="1441">
        <v>325743</v>
      </c>
      <c r="I24" s="1449">
        <f aca="true" t="shared" si="6" ref="I24:I33">SUM(C24:H24)</f>
        <v>1418809</v>
      </c>
      <c r="J24" s="1450"/>
      <c r="K24" s="1448"/>
      <c r="L24" s="1441"/>
      <c r="M24" s="1441"/>
      <c r="N24" s="1448"/>
      <c r="O24" s="1449">
        <f aca="true" t="shared" si="7" ref="O24:O33">SUM(J24:N24)</f>
        <v>0</v>
      </c>
      <c r="P24" s="1461"/>
      <c r="Q24" s="1464">
        <f aca="true" t="shared" si="8" ref="Q24:Q29">I24+O24+P24</f>
        <v>1418809</v>
      </c>
      <c r="R24" s="1465">
        <f aca="true" t="shared" si="9" ref="R24:R29">H24+N24+P24</f>
        <v>325743</v>
      </c>
    </row>
    <row r="25" spans="2:18" ht="24.75" customHeight="1">
      <c r="B25" s="1473" t="s">
        <v>2656</v>
      </c>
      <c r="C25" s="1447">
        <v>132916</v>
      </c>
      <c r="D25" s="1448"/>
      <c r="E25" s="1448">
        <v>40588</v>
      </c>
      <c r="F25" s="1448"/>
      <c r="G25" s="1448"/>
      <c r="H25" s="1448">
        <v>68512.1</v>
      </c>
      <c r="I25" s="1449">
        <f t="shared" si="6"/>
        <v>242016.1</v>
      </c>
      <c r="J25" s="1450"/>
      <c r="K25" s="1448"/>
      <c r="L25" s="1448"/>
      <c r="M25" s="1448"/>
      <c r="N25" s="1448"/>
      <c r="O25" s="1449">
        <f t="shared" si="7"/>
        <v>0</v>
      </c>
      <c r="P25" s="1461"/>
      <c r="Q25" s="1464">
        <f t="shared" si="8"/>
        <v>242016.1</v>
      </c>
      <c r="R25" s="1465">
        <f t="shared" si="9"/>
        <v>68512.1</v>
      </c>
    </row>
    <row r="26" spans="2:18" ht="24.75" customHeight="1">
      <c r="B26" s="1446" t="s">
        <v>2589</v>
      </c>
      <c r="C26" s="1447"/>
      <c r="D26" s="1448">
        <v>25329</v>
      </c>
      <c r="E26" s="1448"/>
      <c r="F26" s="1448"/>
      <c r="G26" s="1448"/>
      <c r="H26" s="1448">
        <v>211327</v>
      </c>
      <c r="I26" s="1449">
        <f t="shared" si="6"/>
        <v>236656</v>
      </c>
      <c r="J26" s="1450"/>
      <c r="K26" s="1448"/>
      <c r="L26" s="1448"/>
      <c r="M26" s="1448"/>
      <c r="N26" s="1448"/>
      <c r="O26" s="1449">
        <f t="shared" si="7"/>
        <v>0</v>
      </c>
      <c r="P26" s="1461"/>
      <c r="Q26" s="1464">
        <f t="shared" si="8"/>
        <v>236656</v>
      </c>
      <c r="R26" s="1465">
        <f t="shared" si="9"/>
        <v>211327</v>
      </c>
    </row>
    <row r="27" spans="2:18" ht="24.75" customHeight="1">
      <c r="B27" s="1446" t="s">
        <v>2701</v>
      </c>
      <c r="C27" s="1447"/>
      <c r="D27" s="1448"/>
      <c r="E27" s="1448"/>
      <c r="F27" s="1448"/>
      <c r="G27" s="1448"/>
      <c r="H27" s="1448">
        <v>0</v>
      </c>
      <c r="I27" s="1449">
        <f t="shared" si="6"/>
        <v>0</v>
      </c>
      <c r="J27" s="1450"/>
      <c r="K27" s="1448"/>
      <c r="L27" s="1448"/>
      <c r="M27" s="1448"/>
      <c r="N27" s="1448"/>
      <c r="O27" s="1449">
        <f t="shared" si="7"/>
        <v>0</v>
      </c>
      <c r="P27" s="1461"/>
      <c r="Q27" s="1464">
        <f t="shared" si="8"/>
        <v>0</v>
      </c>
      <c r="R27" s="1465">
        <f t="shared" si="9"/>
        <v>0</v>
      </c>
    </row>
    <row r="28" spans="2:18" ht="24.75" customHeight="1">
      <c r="B28" s="1453" t="s">
        <v>2657</v>
      </c>
      <c r="C28" s="1447"/>
      <c r="D28" s="1448"/>
      <c r="E28" s="1448"/>
      <c r="F28" s="1448"/>
      <c r="G28" s="1448"/>
      <c r="H28" s="1448">
        <v>234</v>
      </c>
      <c r="I28" s="1449">
        <f t="shared" si="6"/>
        <v>234</v>
      </c>
      <c r="J28" s="1450"/>
      <c r="K28" s="1448"/>
      <c r="L28" s="1448"/>
      <c r="M28" s="1448"/>
      <c r="N28" s="1448"/>
      <c r="O28" s="1449">
        <f t="shared" si="7"/>
        <v>0</v>
      </c>
      <c r="P28" s="1461"/>
      <c r="Q28" s="1464">
        <f t="shared" si="8"/>
        <v>234</v>
      </c>
      <c r="R28" s="1465">
        <f t="shared" si="9"/>
        <v>234</v>
      </c>
    </row>
    <row r="29" spans="2:18" ht="24.75" customHeight="1">
      <c r="B29" s="1446" t="s">
        <v>2592</v>
      </c>
      <c r="C29" s="1447"/>
      <c r="D29" s="1448"/>
      <c r="E29" s="1448"/>
      <c r="F29" s="1474"/>
      <c r="G29" s="1474"/>
      <c r="H29" s="1474">
        <v>3485</v>
      </c>
      <c r="I29" s="1449">
        <f t="shared" si="6"/>
        <v>3485</v>
      </c>
      <c r="J29" s="1450"/>
      <c r="K29" s="1448"/>
      <c r="L29" s="1474"/>
      <c r="M29" s="1474"/>
      <c r="N29" s="1448"/>
      <c r="O29" s="1449">
        <f t="shared" si="7"/>
        <v>0</v>
      </c>
      <c r="P29" s="1461"/>
      <c r="Q29" s="1464">
        <f t="shared" si="8"/>
        <v>3485</v>
      </c>
      <c r="R29" s="1465">
        <f t="shared" si="9"/>
        <v>3485</v>
      </c>
    </row>
    <row r="30" spans="2:18" ht="24.75" customHeight="1">
      <c r="B30" s="1475" t="s">
        <v>3587</v>
      </c>
      <c r="C30" s="1468">
        <f>SUM(C24:C29)</f>
        <v>705383</v>
      </c>
      <c r="D30" s="1469">
        <f>SUM(D24:D29)</f>
        <v>31996</v>
      </c>
      <c r="E30" s="1469">
        <f>SUM(E24:E29)</f>
        <v>554520</v>
      </c>
      <c r="F30" s="1469">
        <f>SUM(F24:F29)</f>
        <v>0</v>
      </c>
      <c r="G30" s="1469">
        <f>SUM(G24:G29)</f>
        <v>0</v>
      </c>
      <c r="H30" s="1469">
        <f aca="true" t="shared" si="10" ref="H30:R30">SUM(H24:H29)</f>
        <v>609301.1</v>
      </c>
      <c r="I30" s="1470">
        <f t="shared" si="10"/>
        <v>1901200.1</v>
      </c>
      <c r="J30" s="1468">
        <f t="shared" si="10"/>
        <v>0</v>
      </c>
      <c r="K30" s="1469">
        <f t="shared" si="10"/>
        <v>0</v>
      </c>
      <c r="L30" s="1469">
        <f t="shared" si="10"/>
        <v>0</v>
      </c>
      <c r="M30" s="1469">
        <f t="shared" si="10"/>
        <v>0</v>
      </c>
      <c r="N30" s="1469">
        <f t="shared" si="10"/>
        <v>0</v>
      </c>
      <c r="O30" s="1470">
        <f t="shared" si="10"/>
        <v>0</v>
      </c>
      <c r="P30" s="1476">
        <f t="shared" si="10"/>
        <v>0</v>
      </c>
      <c r="Q30" s="1472">
        <f t="shared" si="10"/>
        <v>1901200.1</v>
      </c>
      <c r="R30" s="1472">
        <f t="shared" si="10"/>
        <v>609301.1</v>
      </c>
    </row>
    <row r="31" spans="2:18" ht="24.75" customHeight="1">
      <c r="B31" s="1477" t="s">
        <v>2593</v>
      </c>
      <c r="C31" s="1450">
        <v>536059</v>
      </c>
      <c r="D31" s="1448"/>
      <c r="E31" s="1448"/>
      <c r="F31" s="1448"/>
      <c r="G31" s="1448"/>
      <c r="H31" s="1448">
        <v>939037.37</v>
      </c>
      <c r="I31" s="1449">
        <f t="shared" si="6"/>
        <v>1475096.37</v>
      </c>
      <c r="J31" s="1450"/>
      <c r="K31" s="1448"/>
      <c r="L31" s="1448"/>
      <c r="M31" s="1448"/>
      <c r="N31" s="1448"/>
      <c r="O31" s="1449">
        <f t="shared" si="7"/>
        <v>0</v>
      </c>
      <c r="P31" s="1461"/>
      <c r="Q31" s="1464">
        <f>I31+O31+P31</f>
        <v>1475096.37</v>
      </c>
      <c r="R31" s="1465">
        <f>H31+N31+P31</f>
        <v>939037.37</v>
      </c>
    </row>
    <row r="32" spans="2:18" ht="24.75" customHeight="1">
      <c r="B32" s="1478" t="s">
        <v>3588</v>
      </c>
      <c r="C32" s="1468">
        <f>SUM(C30:C31)</f>
        <v>1241442</v>
      </c>
      <c r="D32" s="1469">
        <f>SUM(D30:D31)</f>
        <v>31996</v>
      </c>
      <c r="E32" s="1469">
        <f>SUM(E30:E31)</f>
        <v>554520</v>
      </c>
      <c r="F32" s="1469">
        <f>SUM(F30:F31)</f>
        <v>0</v>
      </c>
      <c r="G32" s="1469">
        <f>SUM(G30:G31)</f>
        <v>0</v>
      </c>
      <c r="H32" s="1469">
        <f aca="true" t="shared" si="11" ref="H32:R32">SUM(H30:H31)</f>
        <v>1548338.47</v>
      </c>
      <c r="I32" s="1470">
        <f t="shared" si="11"/>
        <v>3376296.47</v>
      </c>
      <c r="J32" s="1468">
        <f t="shared" si="11"/>
        <v>0</v>
      </c>
      <c r="K32" s="1469">
        <f t="shared" si="11"/>
        <v>0</v>
      </c>
      <c r="L32" s="1469">
        <f t="shared" si="11"/>
        <v>0</v>
      </c>
      <c r="M32" s="1469">
        <f t="shared" si="11"/>
        <v>0</v>
      </c>
      <c r="N32" s="1469">
        <f t="shared" si="11"/>
        <v>0</v>
      </c>
      <c r="O32" s="1470">
        <f t="shared" si="11"/>
        <v>0</v>
      </c>
      <c r="P32" s="1476">
        <f t="shared" si="11"/>
        <v>0</v>
      </c>
      <c r="Q32" s="1472">
        <f t="shared" si="11"/>
        <v>3376296.47</v>
      </c>
      <c r="R32" s="1472">
        <f t="shared" si="11"/>
        <v>1548338.47</v>
      </c>
    </row>
    <row r="33" spans="2:18" ht="24.75" customHeight="1">
      <c r="B33" s="1477" t="s">
        <v>2660</v>
      </c>
      <c r="C33" s="1450"/>
      <c r="D33" s="1448"/>
      <c r="E33" s="1448"/>
      <c r="F33" s="1448"/>
      <c r="G33" s="1448"/>
      <c r="H33" s="1448">
        <v>33018</v>
      </c>
      <c r="I33" s="1449">
        <f t="shared" si="6"/>
        <v>33018</v>
      </c>
      <c r="J33" s="1450"/>
      <c r="K33" s="1448"/>
      <c r="L33" s="1448"/>
      <c r="M33" s="1448"/>
      <c r="N33" s="1448"/>
      <c r="O33" s="1449">
        <f t="shared" si="7"/>
        <v>0</v>
      </c>
      <c r="P33" s="1461"/>
      <c r="Q33" s="1464">
        <f>I33+O33+P33</f>
        <v>33018</v>
      </c>
      <c r="R33" s="1465">
        <f>H33+N33+P33</f>
        <v>33018</v>
      </c>
    </row>
    <row r="34" spans="2:18" ht="24.75" customHeight="1">
      <c r="B34" s="1478" t="s">
        <v>3589</v>
      </c>
      <c r="C34" s="1468">
        <f>C32+C33</f>
        <v>1241442</v>
      </c>
      <c r="D34" s="1468">
        <f>D32+D33</f>
        <v>31996</v>
      </c>
      <c r="E34" s="1468">
        <f>E32+E33</f>
        <v>554520</v>
      </c>
      <c r="F34" s="1468">
        <f>F32+F33</f>
        <v>0</v>
      </c>
      <c r="G34" s="1468">
        <f>G32+G33</f>
        <v>0</v>
      </c>
      <c r="H34" s="1469">
        <f aca="true" t="shared" si="12" ref="H34:R34">SUM(H32:H33)</f>
        <v>1581356.47</v>
      </c>
      <c r="I34" s="1470">
        <f t="shared" si="12"/>
        <v>3409314.47</v>
      </c>
      <c r="J34" s="1468">
        <f t="shared" si="12"/>
        <v>0</v>
      </c>
      <c r="K34" s="1469">
        <f t="shared" si="12"/>
        <v>0</v>
      </c>
      <c r="L34" s="1469">
        <f>SUM(L24:L33)</f>
        <v>0</v>
      </c>
      <c r="M34" s="1469">
        <f>SUM(M24:M33)</f>
        <v>0</v>
      </c>
      <c r="N34" s="1469">
        <f t="shared" si="12"/>
        <v>0</v>
      </c>
      <c r="O34" s="1470">
        <f t="shared" si="12"/>
        <v>0</v>
      </c>
      <c r="P34" s="1476">
        <f t="shared" si="12"/>
        <v>0</v>
      </c>
      <c r="Q34" s="1472">
        <f t="shared" si="12"/>
        <v>3409314.47</v>
      </c>
      <c r="R34" s="1472">
        <f t="shared" si="12"/>
        <v>1581356.47</v>
      </c>
    </row>
    <row r="35" spans="2:18" ht="24.75" customHeight="1">
      <c r="B35" s="1477" t="s">
        <v>2706</v>
      </c>
      <c r="C35" s="1450"/>
      <c r="D35" s="1448">
        <v>889270</v>
      </c>
      <c r="E35" s="1479">
        <f>15818604</f>
        <v>15818604</v>
      </c>
      <c r="F35" s="1479">
        <v>231101</v>
      </c>
      <c r="G35" s="1448">
        <f>30068391.5+10579723.52</f>
        <v>40648115.019999996</v>
      </c>
      <c r="H35" s="1448">
        <v>38442160.1</v>
      </c>
      <c r="I35" s="1449">
        <f>SUM(C35:H35)</f>
        <v>96029250.12</v>
      </c>
      <c r="J35" s="1450"/>
      <c r="K35" s="1448">
        <v>1105204</v>
      </c>
      <c r="L35" s="1448">
        <v>53309844.7</v>
      </c>
      <c r="M35" s="1448">
        <v>820000</v>
      </c>
      <c r="N35" s="1448"/>
      <c r="O35" s="1449">
        <f>SUM(J35:N35)</f>
        <v>55235048.7</v>
      </c>
      <c r="P35" s="1461"/>
      <c r="Q35" s="1464">
        <f>I35+O35+P35</f>
        <v>151264298.82</v>
      </c>
      <c r="R35" s="1465">
        <f>H35+N35+P35</f>
        <v>38442160.1</v>
      </c>
    </row>
    <row r="36" spans="2:18" ht="24.75" customHeight="1">
      <c r="B36" s="1480" t="s">
        <v>2663</v>
      </c>
      <c r="C36" s="1450"/>
      <c r="D36" s="1448"/>
      <c r="E36" s="1448"/>
      <c r="F36" s="1448"/>
      <c r="G36" s="1448"/>
      <c r="H36" s="1448">
        <v>9501.2</v>
      </c>
      <c r="I36" s="1449">
        <f>SUM(C36:H36)</f>
        <v>9501.2</v>
      </c>
      <c r="J36" s="1450"/>
      <c r="K36" s="1448"/>
      <c r="L36" s="1448"/>
      <c r="M36" s="1448"/>
      <c r="N36" s="1448">
        <v>2302</v>
      </c>
      <c r="O36" s="1449">
        <f>SUM(J36:N36)</f>
        <v>2302</v>
      </c>
      <c r="P36" s="1461"/>
      <c r="Q36" s="1464">
        <f>I36+O36+P36</f>
        <v>11803.2</v>
      </c>
      <c r="R36" s="1465">
        <f>H36+N36+P36</f>
        <v>11803.2</v>
      </c>
    </row>
    <row r="37" spans="2:18" ht="24.75" customHeight="1">
      <c r="B37" s="1480" t="s">
        <v>2664</v>
      </c>
      <c r="C37" s="1450"/>
      <c r="D37" s="1448"/>
      <c r="E37" s="1448"/>
      <c r="F37" s="1448"/>
      <c r="G37" s="1448"/>
      <c r="H37" s="1448">
        <v>2000</v>
      </c>
      <c r="I37" s="1449">
        <f>SUM(C37:H37)</f>
        <v>2000</v>
      </c>
      <c r="J37" s="1450"/>
      <c r="K37" s="1448"/>
      <c r="L37" s="1448"/>
      <c r="M37" s="1448"/>
      <c r="N37" s="1448"/>
      <c r="O37" s="1449">
        <f>SUM(J37:N37)</f>
        <v>0</v>
      </c>
      <c r="P37" s="1461"/>
      <c r="Q37" s="1464">
        <f>I37+O37+P37</f>
        <v>2000</v>
      </c>
      <c r="R37" s="1465">
        <f>H37+N37+P37</f>
        <v>2000</v>
      </c>
    </row>
    <row r="38" spans="2:18" ht="24.75" customHeight="1" thickBot="1">
      <c r="B38" s="1481" t="s">
        <v>3590</v>
      </c>
      <c r="C38" s="1458">
        <f aca="true" t="shared" si="13" ref="C38:R38">C14+C23+C34+C35+C36+C37</f>
        <v>11517107</v>
      </c>
      <c r="D38" s="1456">
        <f t="shared" si="13"/>
        <v>8510237</v>
      </c>
      <c r="E38" s="1456">
        <f t="shared" si="13"/>
        <v>16393124</v>
      </c>
      <c r="F38" s="1456">
        <f t="shared" si="13"/>
        <v>231101</v>
      </c>
      <c r="G38" s="1456">
        <f t="shared" si="13"/>
        <v>40848115.019999996</v>
      </c>
      <c r="H38" s="1456">
        <f t="shared" si="13"/>
        <v>725013503.2300001</v>
      </c>
      <c r="I38" s="1457">
        <f t="shared" si="13"/>
        <v>802513187.2500001</v>
      </c>
      <c r="J38" s="1458">
        <f t="shared" si="13"/>
        <v>373006</v>
      </c>
      <c r="K38" s="1456">
        <f t="shared" si="13"/>
        <v>13353366</v>
      </c>
      <c r="L38" s="1456">
        <f t="shared" si="13"/>
        <v>53885431.800000004</v>
      </c>
      <c r="M38" s="1456">
        <f t="shared" si="13"/>
        <v>820000</v>
      </c>
      <c r="N38" s="1456">
        <f t="shared" si="13"/>
        <v>2105352</v>
      </c>
      <c r="O38" s="1457">
        <f>O14+O23+O34+O35+O36+O37</f>
        <v>70537155.8</v>
      </c>
      <c r="P38" s="1459">
        <f>P14+P23+P34+P35+P36+P37</f>
        <v>141600</v>
      </c>
      <c r="Q38" s="1482">
        <f t="shared" si="13"/>
        <v>873191943.0500002</v>
      </c>
      <c r="R38" s="1482">
        <f t="shared" si="13"/>
        <v>727260455.2300001</v>
      </c>
    </row>
    <row r="39" spans="2:18" ht="30" hidden="1">
      <c r="B39" s="1212" t="s">
        <v>2709</v>
      </c>
      <c r="C39" s="1213"/>
      <c r="D39" s="1213"/>
      <c r="E39" s="1214"/>
      <c r="F39" s="1214"/>
      <c r="G39" s="1214"/>
      <c r="H39" s="1214"/>
      <c r="I39" s="1215">
        <f>SUM(C39:H39)</f>
        <v>0</v>
      </c>
      <c r="J39" s="1213"/>
      <c r="K39" s="1213"/>
      <c r="L39" s="1213"/>
      <c r="M39" s="1213"/>
      <c r="N39" s="1214"/>
      <c r="O39" s="1215">
        <f>SUM(J39:N39)</f>
        <v>0</v>
      </c>
      <c r="P39" s="1216"/>
      <c r="Q39" s="1217">
        <f>I39+O39</f>
        <v>0</v>
      </c>
      <c r="R39" s="1218" t="e">
        <f>#REF!+Q39</f>
        <v>#REF!</v>
      </c>
    </row>
    <row r="40" spans="2:18" ht="30" hidden="1">
      <c r="B40" s="1212" t="s">
        <v>2710</v>
      </c>
      <c r="C40" s="1219"/>
      <c r="D40" s="1219"/>
      <c r="E40" s="1220"/>
      <c r="F40" s="1220"/>
      <c r="G40" s="1220"/>
      <c r="H40" s="1220"/>
      <c r="I40" s="1215">
        <f>SUM(C40:H40)</f>
        <v>0</v>
      </c>
      <c r="J40" s="1219"/>
      <c r="K40" s="1219"/>
      <c r="L40" s="1219"/>
      <c r="M40" s="1219"/>
      <c r="N40" s="1220"/>
      <c r="O40" s="1215">
        <f>SUM(J40:N40)</f>
        <v>0</v>
      </c>
      <c r="P40" s="1216"/>
      <c r="Q40" s="1217">
        <f>I40+O40</f>
        <v>0</v>
      </c>
      <c r="R40" s="1218" t="e">
        <f>#REF!+Q40</f>
        <v>#REF!</v>
      </c>
    </row>
    <row r="41" spans="2:18" ht="30" hidden="1">
      <c r="B41" s="1212" t="s">
        <v>2711</v>
      </c>
      <c r="C41" s="1219"/>
      <c r="D41" s="1219"/>
      <c r="E41" s="1220"/>
      <c r="F41" s="1220"/>
      <c r="G41" s="1220"/>
      <c r="H41" s="1220"/>
      <c r="I41" s="1215">
        <f>SUM(C41:H41)</f>
        <v>0</v>
      </c>
      <c r="J41" s="1219"/>
      <c r="K41" s="1221"/>
      <c r="L41" s="1221"/>
      <c r="M41" s="1221"/>
      <c r="N41" s="1222"/>
      <c r="O41" s="1215">
        <f>SUM(J41:N41)</f>
        <v>0</v>
      </c>
      <c r="P41" s="1216"/>
      <c r="Q41" s="1217">
        <f>I41+O41</f>
        <v>0</v>
      </c>
      <c r="R41" s="1218" t="e">
        <f>#REF!+Q41</f>
        <v>#REF!</v>
      </c>
    </row>
    <row r="42" spans="2:18" ht="30" customHeight="1" hidden="1">
      <c r="B42" s="1223" t="s">
        <v>2712</v>
      </c>
      <c r="C42" s="1219"/>
      <c r="D42" s="1219"/>
      <c r="E42" s="1220"/>
      <c r="F42" s="1220"/>
      <c r="G42" s="1220"/>
      <c r="H42" s="1220"/>
      <c r="I42" s="1215">
        <f>SUM(C42:H42)</f>
        <v>0</v>
      </c>
      <c r="J42" s="1219"/>
      <c r="K42" s="1219"/>
      <c r="L42" s="1219"/>
      <c r="M42" s="1219"/>
      <c r="N42" s="1220"/>
      <c r="O42" s="1215">
        <f>SUM(J42:N42)</f>
        <v>0</v>
      </c>
      <c r="P42" s="1216"/>
      <c r="Q42" s="1217">
        <f>I42+O42</f>
        <v>0</v>
      </c>
      <c r="R42" s="1218" t="e">
        <f>#REF!+Q42</f>
        <v>#REF!</v>
      </c>
    </row>
    <row r="43" spans="2:18" ht="30" hidden="1">
      <c r="B43" s="1212" t="s">
        <v>2713</v>
      </c>
      <c r="C43" s="1219"/>
      <c r="D43" s="1219"/>
      <c r="E43" s="1220"/>
      <c r="F43" s="1220"/>
      <c r="G43" s="1220"/>
      <c r="H43" s="1220"/>
      <c r="I43" s="1215">
        <f>SUM(C43:H43)</f>
        <v>0</v>
      </c>
      <c r="J43" s="1219"/>
      <c r="K43" s="1219"/>
      <c r="L43" s="1219"/>
      <c r="M43" s="1219"/>
      <c r="N43" s="1220"/>
      <c r="O43" s="1215">
        <f>SUM(J43:N43)</f>
        <v>0</v>
      </c>
      <c r="P43" s="1216"/>
      <c r="Q43" s="1217">
        <f>I43+O43</f>
        <v>0</v>
      </c>
      <c r="R43" s="1218" t="e">
        <f>#REF!+Q43</f>
        <v>#REF!</v>
      </c>
    </row>
    <row r="44" spans="2:18" ht="30" hidden="1">
      <c r="B44" s="1224" t="s">
        <v>3293</v>
      </c>
      <c r="C44" s="1225">
        <f aca="true" t="shared" si="14" ref="C44:R44">SUM(C39:C43)</f>
        <v>0</v>
      </c>
      <c r="D44" s="1225">
        <f t="shared" si="14"/>
        <v>0</v>
      </c>
      <c r="E44" s="1225">
        <f t="shared" si="14"/>
        <v>0</v>
      </c>
      <c r="F44" s="1225"/>
      <c r="G44" s="1225"/>
      <c r="H44" s="1225">
        <f t="shared" si="14"/>
        <v>0</v>
      </c>
      <c r="I44" s="1226">
        <f t="shared" si="14"/>
        <v>0</v>
      </c>
      <c r="J44" s="1225">
        <f t="shared" si="14"/>
        <v>0</v>
      </c>
      <c r="K44" s="1225">
        <f t="shared" si="14"/>
        <v>0</v>
      </c>
      <c r="L44" s="1225"/>
      <c r="M44" s="1225"/>
      <c r="N44" s="1225">
        <f t="shared" si="14"/>
        <v>0</v>
      </c>
      <c r="O44" s="1226">
        <f t="shared" si="14"/>
        <v>0</v>
      </c>
      <c r="P44" s="1227"/>
      <c r="Q44" s="1228">
        <f t="shared" si="14"/>
        <v>0</v>
      </c>
      <c r="R44" s="1229" t="e">
        <f t="shared" si="14"/>
        <v>#REF!</v>
      </c>
    </row>
    <row r="45" spans="2:18" ht="30" hidden="1" thickBot="1">
      <c r="B45" s="1230" t="s">
        <v>3591</v>
      </c>
      <c r="C45" s="1231">
        <f aca="true" t="shared" si="15" ref="C45:R45">C38+C44</f>
        <v>11517107</v>
      </c>
      <c r="D45" s="1231">
        <f t="shared" si="15"/>
        <v>8510237</v>
      </c>
      <c r="E45" s="1231">
        <f t="shared" si="15"/>
        <v>16393124</v>
      </c>
      <c r="F45" s="1231"/>
      <c r="G45" s="1231"/>
      <c r="H45" s="1231">
        <f t="shared" si="15"/>
        <v>725013503.2300001</v>
      </c>
      <c r="I45" s="1231">
        <f t="shared" si="15"/>
        <v>802513187.2500001</v>
      </c>
      <c r="J45" s="1231">
        <f t="shared" si="15"/>
        <v>373006</v>
      </c>
      <c r="K45" s="1231">
        <f t="shared" si="15"/>
        <v>13353366</v>
      </c>
      <c r="L45" s="1231"/>
      <c r="M45" s="1231"/>
      <c r="N45" s="1231">
        <f t="shared" si="15"/>
        <v>2105352</v>
      </c>
      <c r="O45" s="1231">
        <f t="shared" si="15"/>
        <v>70537155.8</v>
      </c>
      <c r="P45" s="1232"/>
      <c r="Q45" s="1233">
        <f t="shared" si="15"/>
        <v>873191943.0500002</v>
      </c>
      <c r="R45" s="1234" t="e">
        <f t="shared" si="15"/>
        <v>#REF!</v>
      </c>
    </row>
    <row r="46" spans="2:18" ht="37.5" customHeight="1" hidden="1">
      <c r="B46" s="1235" t="s">
        <v>3592</v>
      </c>
      <c r="C46" s="1236"/>
      <c r="D46" s="1236"/>
      <c r="E46" s="1237"/>
      <c r="F46" s="1237"/>
      <c r="G46" s="1237"/>
      <c r="H46" s="1238"/>
      <c r="I46" s="1215">
        <f>SUM(C46:H46)</f>
        <v>0</v>
      </c>
      <c r="J46" s="1236"/>
      <c r="K46" s="1236">
        <v>0</v>
      </c>
      <c r="L46" s="1239"/>
      <c r="M46" s="1239"/>
      <c r="N46" s="1238"/>
      <c r="O46" s="1215">
        <f>SUM(J46:N46)</f>
        <v>0</v>
      </c>
      <c r="P46" s="1216"/>
      <c r="Q46" s="1217">
        <f>I46+O46</f>
        <v>0</v>
      </c>
      <c r="R46" s="1218" t="e">
        <f>#REF!+Q46</f>
        <v>#REF!</v>
      </c>
    </row>
    <row r="47" spans="2:18" ht="30.75" customHeight="1" hidden="1">
      <c r="B47" s="1240" t="s">
        <v>3590</v>
      </c>
      <c r="C47" s="1241">
        <f aca="true" t="shared" si="16" ref="C47:R47">C45+C46</f>
        <v>11517107</v>
      </c>
      <c r="D47" s="1241">
        <f t="shared" si="16"/>
        <v>8510237</v>
      </c>
      <c r="E47" s="1241">
        <f t="shared" si="16"/>
        <v>16393124</v>
      </c>
      <c r="F47" s="1241"/>
      <c r="G47" s="1241"/>
      <c r="H47" s="1241">
        <f t="shared" si="16"/>
        <v>725013503.2300001</v>
      </c>
      <c r="I47" s="1242">
        <f t="shared" si="16"/>
        <v>802513187.2500001</v>
      </c>
      <c r="J47" s="1241">
        <f t="shared" si="16"/>
        <v>373006</v>
      </c>
      <c r="K47" s="1241">
        <f t="shared" si="16"/>
        <v>13353366</v>
      </c>
      <c r="L47" s="1241"/>
      <c r="M47" s="1241"/>
      <c r="N47" s="1241">
        <f t="shared" si="16"/>
        <v>2105352</v>
      </c>
      <c r="O47" s="1242">
        <f t="shared" si="16"/>
        <v>70537155.8</v>
      </c>
      <c r="P47" s="1243"/>
      <c r="Q47" s="1244">
        <f t="shared" si="16"/>
        <v>873191943.0500002</v>
      </c>
      <c r="R47" s="1245" t="e">
        <f t="shared" si="16"/>
        <v>#REF!</v>
      </c>
    </row>
    <row r="48" spans="2:14" ht="30" customHeight="1">
      <c r="B48" s="1786" t="s">
        <v>3806</v>
      </c>
      <c r="C48" s="1246"/>
      <c r="D48" s="1246"/>
      <c r="E48" s="1246"/>
      <c r="F48" s="1246"/>
      <c r="G48" s="1246"/>
      <c r="H48" s="1246"/>
      <c r="J48" s="1246"/>
      <c r="K48" s="1246"/>
      <c r="L48" s="1246"/>
      <c r="M48" s="1246"/>
      <c r="N48" s="1246"/>
    </row>
    <row r="49" spans="2:14" ht="39" customHeight="1">
      <c r="B49" s="1786"/>
      <c r="C49" s="1246"/>
      <c r="D49" s="1246"/>
      <c r="E49" s="1246"/>
      <c r="F49" s="1246"/>
      <c r="G49" s="1246"/>
      <c r="H49" s="1246"/>
      <c r="J49" s="1246"/>
      <c r="K49" s="1246"/>
      <c r="L49" s="1246"/>
      <c r="M49" s="1246"/>
      <c r="N49" s="1246"/>
    </row>
    <row r="50" spans="2:18" ht="30" customHeight="1">
      <c r="B50" s="1341" t="s">
        <v>3601</v>
      </c>
      <c r="C50" s="1246"/>
      <c r="D50" s="1246"/>
      <c r="E50" s="1246"/>
      <c r="F50" s="1246"/>
      <c r="G50" s="1246"/>
      <c r="H50" s="1246"/>
      <c r="J50" s="1246"/>
      <c r="K50" s="1246"/>
      <c r="L50" s="1246"/>
      <c r="M50" s="1246"/>
      <c r="O50" s="1486" t="s">
        <v>3602</v>
      </c>
      <c r="P50" s="1120"/>
      <c r="R50" s="1487" t="s">
        <v>3510</v>
      </c>
    </row>
    <row r="51" spans="2:14" ht="30" customHeight="1">
      <c r="B51" s="1247"/>
      <c r="C51" s="1246"/>
      <c r="D51" s="1246"/>
      <c r="E51" s="1246"/>
      <c r="F51" s="1246"/>
      <c r="G51" s="1246"/>
      <c r="H51" s="1246"/>
      <c r="J51" s="1246"/>
      <c r="K51" s="1246"/>
      <c r="L51" s="1246"/>
      <c r="M51" s="1246"/>
      <c r="N51" s="1246"/>
    </row>
    <row r="52" spans="2:14" ht="30" customHeight="1">
      <c r="B52" s="1246"/>
      <c r="C52" s="1246"/>
      <c r="D52" s="1246"/>
      <c r="E52" s="1246"/>
      <c r="F52" s="1246"/>
      <c r="G52" s="1246"/>
      <c r="H52" s="1246"/>
      <c r="J52" s="1246"/>
      <c r="K52" s="1246"/>
      <c r="L52" s="1246"/>
      <c r="M52" s="1246"/>
      <c r="N52" s="1246"/>
    </row>
    <row r="53" spans="2:14" ht="30" customHeight="1">
      <c r="B53" s="1246"/>
      <c r="C53" s="1246"/>
      <c r="D53" s="1246"/>
      <c r="E53" s="1246"/>
      <c r="F53" s="1246"/>
      <c r="G53" s="1246"/>
      <c r="H53" s="1246"/>
      <c r="J53" s="1246"/>
      <c r="K53" s="1246"/>
      <c r="L53" s="1246"/>
      <c r="M53" s="1246"/>
      <c r="N53" s="1246"/>
    </row>
    <row r="54" spans="2:14" ht="30" customHeight="1">
      <c r="B54" s="1246"/>
      <c r="C54" s="1246"/>
      <c r="D54" s="1246"/>
      <c r="E54" s="1246"/>
      <c r="F54" s="1246"/>
      <c r="G54" s="1246"/>
      <c r="H54" s="1246"/>
      <c r="J54" s="1246"/>
      <c r="K54" s="1246"/>
      <c r="L54" s="1246"/>
      <c r="M54" s="1246"/>
      <c r="N54" s="1246"/>
    </row>
    <row r="55" spans="2:14" ht="30" customHeight="1">
      <c r="B55" s="1246"/>
      <c r="C55" s="1246"/>
      <c r="D55" s="1246"/>
      <c r="E55" s="1246"/>
      <c r="F55" s="1246"/>
      <c r="G55" s="1246"/>
      <c r="H55" s="1246"/>
      <c r="J55" s="1246"/>
      <c r="K55" s="1246"/>
      <c r="L55" s="1246"/>
      <c r="M55" s="1246"/>
      <c r="N55" s="1246"/>
    </row>
    <row r="56" spans="2:14" ht="30" customHeight="1">
      <c r="B56" s="1246"/>
      <c r="C56" s="1246"/>
      <c r="D56" s="1246"/>
      <c r="E56" s="1246"/>
      <c r="F56" s="1246"/>
      <c r="G56" s="1246"/>
      <c r="H56" s="1246"/>
      <c r="J56" s="1246"/>
      <c r="K56" s="1246"/>
      <c r="L56" s="1246"/>
      <c r="M56" s="1246"/>
      <c r="N56" s="1246"/>
    </row>
    <row r="57" spans="2:14" ht="30" customHeight="1">
      <c r="B57" s="1246"/>
      <c r="C57" s="1246"/>
      <c r="D57" s="1246"/>
      <c r="E57" s="1246"/>
      <c r="F57" s="1246"/>
      <c r="G57" s="1246"/>
      <c r="H57" s="1246"/>
      <c r="J57" s="1246"/>
      <c r="K57" s="1246"/>
      <c r="L57" s="1246"/>
      <c r="M57" s="1246"/>
      <c r="N57" s="1246"/>
    </row>
    <row r="58" spans="2:14" ht="30" customHeight="1">
      <c r="B58" s="1246"/>
      <c r="C58" s="1246"/>
      <c r="D58" s="1246"/>
      <c r="E58" s="1246"/>
      <c r="F58" s="1246"/>
      <c r="G58" s="1246"/>
      <c r="H58" s="1246"/>
      <c r="J58" s="1246"/>
      <c r="K58" s="1246"/>
      <c r="L58" s="1246"/>
      <c r="M58" s="1246"/>
      <c r="N58" s="1246"/>
    </row>
    <row r="59" spans="2:14" ht="30" customHeight="1">
      <c r="B59" s="1246"/>
      <c r="C59" s="1246"/>
      <c r="D59" s="1246"/>
      <c r="E59" s="1246"/>
      <c r="F59" s="1246"/>
      <c r="G59" s="1246"/>
      <c r="H59" s="1246"/>
      <c r="J59" s="1246"/>
      <c r="K59" s="1246"/>
      <c r="L59" s="1246"/>
      <c r="M59" s="1246"/>
      <c r="N59" s="1246"/>
    </row>
    <row r="60" spans="2:14" ht="30" customHeight="1">
      <c r="B60" s="1246"/>
      <c r="C60" s="1246"/>
      <c r="D60" s="1246"/>
      <c r="E60" s="1246"/>
      <c r="F60" s="1246"/>
      <c r="G60" s="1246"/>
      <c r="H60" s="1246"/>
      <c r="J60" s="1246"/>
      <c r="K60" s="1246"/>
      <c r="L60" s="1246"/>
      <c r="M60" s="1246"/>
      <c r="N60" s="1246"/>
    </row>
    <row r="61" spans="2:14" ht="30" customHeight="1">
      <c r="B61" s="1246"/>
      <c r="C61" s="1246"/>
      <c r="D61" s="1246"/>
      <c r="E61" s="1246"/>
      <c r="F61" s="1246"/>
      <c r="G61" s="1246"/>
      <c r="H61" s="1246"/>
      <c r="J61" s="1246"/>
      <c r="K61" s="1246"/>
      <c r="L61" s="1246"/>
      <c r="M61" s="1246"/>
      <c r="N61" s="1246"/>
    </row>
    <row r="62" spans="2:14" ht="30" customHeight="1">
      <c r="B62" s="1246"/>
      <c r="C62" s="1246"/>
      <c r="D62" s="1246"/>
      <c r="E62" s="1246"/>
      <c r="F62" s="1246"/>
      <c r="G62" s="1246"/>
      <c r="H62" s="1246"/>
      <c r="J62" s="1246"/>
      <c r="K62" s="1246"/>
      <c r="L62" s="1246"/>
      <c r="M62" s="1246"/>
      <c r="N62" s="1246"/>
    </row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</sheetData>
  <mergeCells count="3">
    <mergeCell ref="C7:I7"/>
    <mergeCell ref="J7:O7"/>
    <mergeCell ref="B5:R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0" r:id="rId1"/>
  <headerFooter alignWithMargins="0">
    <oddFooter>&amp;C&amp;16&amp;P+132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1"/>
  <sheetViews>
    <sheetView zoomScale="50" zoomScaleNormal="50" workbookViewId="0" topLeftCell="B1">
      <selection activeCell="B1" sqref="B1:AD41"/>
    </sheetView>
  </sheetViews>
  <sheetFormatPr defaultColWidth="9.00390625" defaultRowHeight="12.75"/>
  <cols>
    <col min="1" max="1" width="3.375" style="0" hidden="1" customWidth="1"/>
    <col min="2" max="2" width="26.50390625" style="0" customWidth="1"/>
    <col min="3" max="3" width="19.50390625" style="0" customWidth="1"/>
    <col min="4" max="7" width="19.50390625" style="0" hidden="1" customWidth="1"/>
    <col min="8" max="8" width="20.875" style="267" customWidth="1"/>
    <col min="9" max="9" width="19.50390625" style="0" hidden="1" customWidth="1"/>
    <col min="10" max="10" width="22.00390625" style="0" customWidth="1"/>
    <col min="11" max="11" width="17.50390625" style="0" customWidth="1"/>
    <col min="12" max="12" width="18.50390625" style="0" customWidth="1"/>
    <col min="13" max="13" width="17.625" style="0" customWidth="1"/>
    <col min="14" max="15" width="21.00390625" style="0" customWidth="1"/>
    <col min="16" max="16" width="27.125" style="0" customWidth="1"/>
    <col min="17" max="17" width="20.625" style="0" customWidth="1"/>
    <col min="18" max="18" width="16.375" style="0" hidden="1" customWidth="1"/>
    <col min="19" max="19" width="19.50390625" style="0" customWidth="1"/>
    <col min="20" max="20" width="21.375" style="267" customWidth="1"/>
    <col min="21" max="21" width="21.375" style="0" customWidth="1"/>
    <col min="22" max="22" width="20.875" style="0" customWidth="1"/>
    <col min="23" max="23" width="20.125" style="0" hidden="1" customWidth="1"/>
    <col min="24" max="24" width="17.00390625" style="0" hidden="1" customWidth="1"/>
    <col min="25" max="25" width="32.00390625" style="0" customWidth="1"/>
    <col min="26" max="26" width="16.125" style="0" hidden="1" customWidth="1"/>
    <col min="27" max="27" width="16.00390625" style="0" hidden="1" customWidth="1"/>
    <col min="28" max="28" width="16.625" style="0" hidden="1" customWidth="1"/>
    <col min="29" max="29" width="17.50390625" style="0" customWidth="1"/>
    <col min="30" max="30" width="24.50390625" style="0" customWidth="1"/>
  </cols>
  <sheetData>
    <row r="1" spans="2:30" ht="17.25">
      <c r="B1" s="1484" t="s">
        <v>3513</v>
      </c>
      <c r="C1" s="266"/>
      <c r="D1" s="266"/>
      <c r="E1" s="266"/>
      <c r="F1" s="266"/>
      <c r="G1" s="266"/>
      <c r="I1" s="266"/>
      <c r="M1" s="268"/>
      <c r="N1" s="266"/>
      <c r="O1" s="266"/>
      <c r="P1" s="266"/>
      <c r="Q1" s="266"/>
      <c r="R1" s="266"/>
      <c r="S1" s="268"/>
      <c r="V1" s="266"/>
      <c r="W1" s="266"/>
      <c r="X1" s="266"/>
      <c r="AD1" s="1342" t="s">
        <v>3712</v>
      </c>
    </row>
    <row r="2" spans="2:30" ht="22.5">
      <c r="B2" s="1904" t="s">
        <v>2596</v>
      </c>
      <c r="C2" s="1904"/>
      <c r="D2" s="1904"/>
      <c r="E2" s="1904"/>
      <c r="F2" s="1904"/>
      <c r="G2" s="1904"/>
      <c r="H2" s="1904"/>
      <c r="I2" s="1904"/>
      <c r="J2" s="1904"/>
      <c r="K2" s="1904"/>
      <c r="L2" s="1904"/>
      <c r="M2" s="1904"/>
      <c r="N2" s="1904"/>
      <c r="O2" s="1904"/>
      <c r="P2" s="1904"/>
      <c r="Q2" s="1904"/>
      <c r="R2" s="1904"/>
      <c r="S2" s="1904"/>
      <c r="T2" s="1904"/>
      <c r="U2" s="1904"/>
      <c r="V2" s="1904"/>
      <c r="W2" s="1904"/>
      <c r="X2" s="1904"/>
      <c r="Y2" s="1904"/>
      <c r="Z2" s="1904"/>
      <c r="AA2" s="1904"/>
      <c r="AB2" s="1904"/>
      <c r="AC2" s="1904"/>
      <c r="AD2" s="1904"/>
    </row>
    <row r="3" spans="2:30" ht="24.75" thickBot="1">
      <c r="B3" s="269"/>
      <c r="C3" s="268"/>
      <c r="D3" s="268"/>
      <c r="E3" s="268"/>
      <c r="F3" s="268"/>
      <c r="G3" s="268"/>
      <c r="I3" s="268"/>
      <c r="N3" s="266"/>
      <c r="O3" s="266"/>
      <c r="P3" s="266"/>
      <c r="Q3" s="266"/>
      <c r="R3" s="266"/>
      <c r="S3" s="266"/>
      <c r="T3" s="270"/>
      <c r="U3" s="266"/>
      <c r="V3" s="266"/>
      <c r="W3" s="266"/>
      <c r="X3" s="266"/>
      <c r="Y3" s="271"/>
      <c r="Z3" s="271"/>
      <c r="AA3" s="271"/>
      <c r="AB3" s="271"/>
      <c r="AC3" s="271"/>
      <c r="AD3" s="1342" t="s">
        <v>2597</v>
      </c>
    </row>
    <row r="4" spans="2:30" ht="34.5" customHeight="1">
      <c r="B4" s="273"/>
      <c r="C4" s="274" t="s">
        <v>2598</v>
      </c>
      <c r="D4" s="1899" t="s">
        <v>2599</v>
      </c>
      <c r="E4" s="1900"/>
      <c r="F4" s="1900"/>
      <c r="G4" s="1901"/>
      <c r="H4" s="275" t="s">
        <v>2600</v>
      </c>
      <c r="I4" s="276" t="s">
        <v>2601</v>
      </c>
      <c r="J4" s="277" t="s">
        <v>2602</v>
      </c>
      <c r="K4" s="277" t="s">
        <v>2603</v>
      </c>
      <c r="L4" s="277" t="s">
        <v>2604</v>
      </c>
      <c r="M4" s="277" t="s">
        <v>2605</v>
      </c>
      <c r="N4" s="278" t="s">
        <v>2606</v>
      </c>
      <c r="O4" s="279" t="s">
        <v>2607</v>
      </c>
      <c r="P4" s="280" t="s">
        <v>2608</v>
      </c>
      <c r="Q4" s="281" t="s">
        <v>2609</v>
      </c>
      <c r="R4" s="277" t="s">
        <v>2610</v>
      </c>
      <c r="S4" s="277" t="s">
        <v>2611</v>
      </c>
      <c r="T4" s="282" t="s">
        <v>2612</v>
      </c>
      <c r="U4" s="277" t="s">
        <v>2613</v>
      </c>
      <c r="V4" s="283" t="s">
        <v>2614</v>
      </c>
      <c r="W4" s="1902" t="s">
        <v>2615</v>
      </c>
      <c r="X4" s="1903"/>
      <c r="Y4" s="284" t="s">
        <v>2616</v>
      </c>
      <c r="Z4" s="285" t="s">
        <v>2617</v>
      </c>
      <c r="AA4" s="286" t="s">
        <v>2617</v>
      </c>
      <c r="AB4" s="287" t="s">
        <v>2617</v>
      </c>
      <c r="AC4" s="288" t="s">
        <v>2618</v>
      </c>
      <c r="AD4" s="284" t="s">
        <v>2619</v>
      </c>
    </row>
    <row r="5" spans="2:30" ht="34.5" customHeight="1" thickBot="1">
      <c r="B5" s="289" t="s">
        <v>2583</v>
      </c>
      <c r="C5" s="290" t="s">
        <v>2620</v>
      </c>
      <c r="D5" s="291" t="s">
        <v>2621</v>
      </c>
      <c r="E5" s="292" t="s">
        <v>2622</v>
      </c>
      <c r="F5" s="292" t="s">
        <v>2623</v>
      </c>
      <c r="G5" s="292" t="s">
        <v>2624</v>
      </c>
      <c r="H5" s="293" t="s">
        <v>2625</v>
      </c>
      <c r="I5" s="294" t="s">
        <v>2625</v>
      </c>
      <c r="J5" s="295" t="s">
        <v>2626</v>
      </c>
      <c r="K5" s="295" t="s">
        <v>2627</v>
      </c>
      <c r="L5" s="295" t="s">
        <v>2628</v>
      </c>
      <c r="M5" s="295" t="s">
        <v>2629</v>
      </c>
      <c r="N5" s="296" t="s">
        <v>2630</v>
      </c>
      <c r="O5" s="295" t="s">
        <v>2631</v>
      </c>
      <c r="P5" s="297" t="s">
        <v>2632</v>
      </c>
      <c r="Q5" s="295" t="s">
        <v>2633</v>
      </c>
      <c r="R5" s="295" t="s">
        <v>2610</v>
      </c>
      <c r="S5" s="295" t="s">
        <v>2634</v>
      </c>
      <c r="T5" s="293" t="s">
        <v>2635</v>
      </c>
      <c r="U5" s="295" t="s">
        <v>2635</v>
      </c>
      <c r="V5" s="298" t="s">
        <v>2636</v>
      </c>
      <c r="W5" s="299" t="s">
        <v>2637</v>
      </c>
      <c r="X5" s="300" t="s">
        <v>2638</v>
      </c>
      <c r="Y5" s="301" t="s">
        <v>2639</v>
      </c>
      <c r="Z5" s="302" t="s">
        <v>2625</v>
      </c>
      <c r="AA5" s="303" t="s">
        <v>2620</v>
      </c>
      <c r="AB5" s="298" t="s">
        <v>2640</v>
      </c>
      <c r="AC5" s="304" t="s">
        <v>2640</v>
      </c>
      <c r="AD5" s="305"/>
    </row>
    <row r="6" spans="2:30" ht="34.5" customHeight="1">
      <c r="B6" s="306" t="s">
        <v>2641</v>
      </c>
      <c r="C6" s="307">
        <v>50467301</v>
      </c>
      <c r="D6" s="308">
        <v>2439000</v>
      </c>
      <c r="E6" s="308">
        <v>700000</v>
      </c>
      <c r="F6" s="309">
        <v>46551301</v>
      </c>
      <c r="G6" s="308">
        <v>777000</v>
      </c>
      <c r="H6" s="307">
        <v>175390049</v>
      </c>
      <c r="I6" s="310">
        <v>60268</v>
      </c>
      <c r="J6" s="311"/>
      <c r="K6" s="311"/>
      <c r="L6" s="311"/>
      <c r="M6" s="311"/>
      <c r="N6" s="311">
        <f>71981352+1169504</f>
        <v>73150856</v>
      </c>
      <c r="O6" s="312">
        <f>6975194+608431</f>
        <v>7583625</v>
      </c>
      <c r="P6" s="313">
        <f>C6+H6+J6+K6+L6+M6+N6+O6</f>
        <v>306591831</v>
      </c>
      <c r="Q6" s="314">
        <v>27761133</v>
      </c>
      <c r="R6" s="311"/>
      <c r="S6" s="311">
        <v>48690342</v>
      </c>
      <c r="T6" s="307">
        <f>276547208+36856.98</f>
        <v>276584064.98</v>
      </c>
      <c r="U6" s="307"/>
      <c r="V6" s="315"/>
      <c r="W6" s="316"/>
      <c r="X6" s="317"/>
      <c r="Y6" s="313">
        <f>SUM(Q6:V6)</f>
        <v>353035539.98</v>
      </c>
      <c r="Z6" s="318"/>
      <c r="AA6" s="319"/>
      <c r="AB6" s="315">
        <v>3041</v>
      </c>
      <c r="AC6" s="320">
        <f>SUM(Z6:AB6)</f>
        <v>3041</v>
      </c>
      <c r="AD6" s="320">
        <f>P6+Y6+AC6</f>
        <v>659630411.98</v>
      </c>
    </row>
    <row r="7" spans="2:30" ht="34.5" customHeight="1" hidden="1">
      <c r="B7" s="321" t="s">
        <v>2642</v>
      </c>
      <c r="C7" s="322">
        <f aca="true" t="shared" si="0" ref="C7:C34">D7+E7+F7+G7</f>
        <v>0</v>
      </c>
      <c r="D7" s="323"/>
      <c r="E7" s="323"/>
      <c r="F7" s="323"/>
      <c r="G7" s="323"/>
      <c r="H7" s="324"/>
      <c r="I7" s="323"/>
      <c r="J7" s="319"/>
      <c r="K7" s="319"/>
      <c r="L7" s="319"/>
      <c r="M7" s="319"/>
      <c r="N7" s="319"/>
      <c r="O7" s="325"/>
      <c r="P7" s="326">
        <f aca="true" t="shared" si="1" ref="P7:P34">C7+H7+J7+K7+L7+M7+N7+O7</f>
        <v>0</v>
      </c>
      <c r="Q7" s="327"/>
      <c r="R7" s="319"/>
      <c r="S7" s="319"/>
      <c r="T7" s="324">
        <v>0</v>
      </c>
      <c r="U7" s="319"/>
      <c r="V7" s="328"/>
      <c r="W7" s="329"/>
      <c r="X7" s="330"/>
      <c r="Y7" s="331">
        <f>SUM(Q7:V7)</f>
        <v>0</v>
      </c>
      <c r="Z7" s="332"/>
      <c r="AA7" s="333"/>
      <c r="AB7" s="328"/>
      <c r="AC7" s="331">
        <f>SUM(Z7:AB7)</f>
        <v>0</v>
      </c>
      <c r="AD7" s="334">
        <f>P7+Y7+AC7</f>
        <v>0</v>
      </c>
    </row>
    <row r="8" spans="2:30" ht="34.5" customHeight="1">
      <c r="B8" s="335" t="s">
        <v>2643</v>
      </c>
      <c r="C8" s="322">
        <f t="shared" si="0"/>
        <v>7475970</v>
      </c>
      <c r="D8" s="336">
        <v>155468</v>
      </c>
      <c r="E8" s="336">
        <v>1544471</v>
      </c>
      <c r="F8" s="336">
        <v>4950093</v>
      </c>
      <c r="G8" s="336">
        <v>825938</v>
      </c>
      <c r="H8" s="322">
        <v>125479846</v>
      </c>
      <c r="I8" s="336">
        <v>3000</v>
      </c>
      <c r="J8" s="333">
        <v>2083750</v>
      </c>
      <c r="K8" s="333">
        <v>5044000</v>
      </c>
      <c r="L8" s="333">
        <v>4337000</v>
      </c>
      <c r="M8" s="333">
        <v>1508563</v>
      </c>
      <c r="N8" s="333">
        <v>21828702</v>
      </c>
      <c r="O8" s="337">
        <v>5435374</v>
      </c>
      <c r="P8" s="331">
        <f t="shared" si="1"/>
        <v>173193205</v>
      </c>
      <c r="Q8" s="329">
        <v>48427921.37</v>
      </c>
      <c r="R8" s="333"/>
      <c r="S8" s="333"/>
      <c r="T8" s="322">
        <f>210650244.11</f>
        <v>210650244.11</v>
      </c>
      <c r="U8" s="333">
        <f>27978335.15+8000000+26959.55</f>
        <v>36005294.699999996</v>
      </c>
      <c r="V8" s="338">
        <f>W8+X8</f>
        <v>13383382.8</v>
      </c>
      <c r="W8" s="329">
        <f>13383382.8-X8</f>
        <v>13370722</v>
      </c>
      <c r="X8" s="339">
        <v>12660.8</v>
      </c>
      <c r="Y8" s="331">
        <f>SUM(Q8:V8)</f>
        <v>308466842.98</v>
      </c>
      <c r="Z8" s="339"/>
      <c r="AA8" s="333"/>
      <c r="AB8" s="340"/>
      <c r="AC8" s="331">
        <f>SUM(Z8:AB8)</f>
        <v>0</v>
      </c>
      <c r="AD8" s="334">
        <f aca="true" t="shared" si="2" ref="AD8:AD34">P8+Y8+AC8</f>
        <v>481660047.98</v>
      </c>
    </row>
    <row r="9" spans="2:30" s="341" customFormat="1" ht="34.5" customHeight="1">
      <c r="B9" s="342" t="s">
        <v>2644</v>
      </c>
      <c r="C9" s="322">
        <f t="shared" si="0"/>
        <v>295390</v>
      </c>
      <c r="E9" s="343">
        <v>212460</v>
      </c>
      <c r="F9" s="344"/>
      <c r="G9" s="344">
        <v>82930</v>
      </c>
      <c r="H9" s="322">
        <v>4250</v>
      </c>
      <c r="I9" s="344">
        <v>4250</v>
      </c>
      <c r="J9" s="345"/>
      <c r="K9" s="345"/>
      <c r="L9" s="345"/>
      <c r="M9" s="345"/>
      <c r="N9" s="345"/>
      <c r="O9" s="346"/>
      <c r="P9" s="347">
        <f t="shared" si="1"/>
        <v>299640</v>
      </c>
      <c r="Q9" s="348"/>
      <c r="R9" s="345"/>
      <c r="S9" s="345"/>
      <c r="T9" s="322"/>
      <c r="U9" s="345"/>
      <c r="V9" s="349"/>
      <c r="W9" s="348"/>
      <c r="X9" s="350"/>
      <c r="Y9" s="351">
        <f>SUM(Q9:V9)</f>
        <v>0</v>
      </c>
      <c r="Z9" s="352"/>
      <c r="AA9" s="353"/>
      <c r="AB9" s="354"/>
      <c r="AC9" s="331">
        <f>SUM(Z9:AB9)</f>
        <v>0</v>
      </c>
      <c r="AD9" s="334">
        <f t="shared" si="2"/>
        <v>299640</v>
      </c>
    </row>
    <row r="10" spans="2:30" ht="34.5" customHeight="1">
      <c r="B10" s="342" t="s">
        <v>2645</v>
      </c>
      <c r="C10" s="355">
        <f t="shared" si="0"/>
        <v>1639699.62</v>
      </c>
      <c r="D10" s="344"/>
      <c r="E10" s="344">
        <v>70000</v>
      </c>
      <c r="F10" s="344">
        <v>1483555</v>
      </c>
      <c r="G10" s="344">
        <v>86144.62</v>
      </c>
      <c r="H10" s="322">
        <f>1400+159536.9</f>
        <v>160936.9</v>
      </c>
      <c r="I10" s="344">
        <v>1400</v>
      </c>
      <c r="J10" s="333"/>
      <c r="K10" s="333"/>
      <c r="L10" s="333"/>
      <c r="M10" s="333"/>
      <c r="N10" s="333">
        <v>207347</v>
      </c>
      <c r="O10" s="337">
        <v>564243</v>
      </c>
      <c r="P10" s="356">
        <f t="shared" si="1"/>
        <v>2572226.52</v>
      </c>
      <c r="Q10" s="329">
        <v>1605</v>
      </c>
      <c r="R10" s="333"/>
      <c r="S10" s="333"/>
      <c r="T10" s="322">
        <v>42823172.39</v>
      </c>
      <c r="U10" s="333"/>
      <c r="V10" s="338">
        <v>12882402.13</v>
      </c>
      <c r="W10" s="329">
        <v>12882402.13</v>
      </c>
      <c r="X10" s="339"/>
      <c r="Y10" s="331">
        <f>SUM(Q10:V10)</f>
        <v>55707179.52</v>
      </c>
      <c r="Z10" s="357"/>
      <c r="AA10" s="358"/>
      <c r="AB10" s="338">
        <v>34.9</v>
      </c>
      <c r="AC10" s="331">
        <f>SUM(Z10:AB10)</f>
        <v>34.9</v>
      </c>
      <c r="AD10" s="334">
        <f t="shared" si="2"/>
        <v>58279440.940000005</v>
      </c>
    </row>
    <row r="11" spans="2:30" ht="34.5" customHeight="1">
      <c r="B11" s="359" t="s">
        <v>2646</v>
      </c>
      <c r="C11" s="360">
        <f aca="true" t="shared" si="3" ref="C11:AC11">SUM(C6:C10)</f>
        <v>59878360.62</v>
      </c>
      <c r="D11" s="360">
        <f>SUM(D6:D10)</f>
        <v>2594468</v>
      </c>
      <c r="E11" s="360">
        <f>SUM(E6:E10)</f>
        <v>2526931</v>
      </c>
      <c r="F11" s="360">
        <f>SUM(F6:F10)</f>
        <v>52984949</v>
      </c>
      <c r="G11" s="360">
        <f>SUM(G6:G10)</f>
        <v>1772012.62</v>
      </c>
      <c r="H11" s="361">
        <f t="shared" si="3"/>
        <v>301035081.9</v>
      </c>
      <c r="I11" s="360">
        <f>SUM(I6:I10)</f>
        <v>68918</v>
      </c>
      <c r="J11" s="361">
        <f t="shared" si="3"/>
        <v>2083750</v>
      </c>
      <c r="K11" s="361">
        <f>SUM(K6:K10)</f>
        <v>5044000</v>
      </c>
      <c r="L11" s="361">
        <f>SUM(L6:L10)</f>
        <v>4337000</v>
      </c>
      <c r="M11" s="361">
        <f t="shared" si="3"/>
        <v>1508563</v>
      </c>
      <c r="N11" s="361">
        <f t="shared" si="3"/>
        <v>95186905</v>
      </c>
      <c r="O11" s="362">
        <f t="shared" si="3"/>
        <v>13583242</v>
      </c>
      <c r="P11" s="331">
        <f t="shared" si="3"/>
        <v>482656902.52</v>
      </c>
      <c r="Q11" s="363">
        <f t="shared" si="3"/>
        <v>76190659.37</v>
      </c>
      <c r="R11" s="363">
        <f t="shared" si="3"/>
        <v>0</v>
      </c>
      <c r="S11" s="363">
        <f t="shared" si="3"/>
        <v>48690342</v>
      </c>
      <c r="T11" s="363">
        <f t="shared" si="3"/>
        <v>530057481.48</v>
      </c>
      <c r="U11" s="363">
        <f t="shared" si="3"/>
        <v>36005294.699999996</v>
      </c>
      <c r="V11" s="340">
        <f t="shared" si="3"/>
        <v>26265784.93</v>
      </c>
      <c r="W11" s="363">
        <f>SUM(W6:W10)</f>
        <v>26253124.130000003</v>
      </c>
      <c r="X11" s="358">
        <f>SUM(X6:X10)</f>
        <v>12660.8</v>
      </c>
      <c r="Y11" s="364">
        <f t="shared" si="3"/>
        <v>717209562.48</v>
      </c>
      <c r="Z11" s="358">
        <f t="shared" si="3"/>
        <v>0</v>
      </c>
      <c r="AA11" s="358">
        <f t="shared" si="3"/>
        <v>0</v>
      </c>
      <c r="AB11" s="340">
        <f t="shared" si="3"/>
        <v>3075.9</v>
      </c>
      <c r="AC11" s="331">
        <f t="shared" si="3"/>
        <v>3075.9</v>
      </c>
      <c r="AD11" s="334">
        <f>SUM(AD6:AD10)</f>
        <v>1199869540.9</v>
      </c>
    </row>
    <row r="12" spans="2:30" ht="34.5" customHeight="1">
      <c r="B12" s="365" t="s">
        <v>2647</v>
      </c>
      <c r="C12" s="322">
        <f t="shared" si="0"/>
        <v>0</v>
      </c>
      <c r="D12" s="344"/>
      <c r="E12" s="344"/>
      <c r="F12" s="344"/>
      <c r="G12" s="344"/>
      <c r="H12" s="322">
        <v>25764</v>
      </c>
      <c r="I12" s="344"/>
      <c r="J12" s="333"/>
      <c r="K12" s="333"/>
      <c r="L12" s="333"/>
      <c r="M12" s="358"/>
      <c r="N12" s="358"/>
      <c r="O12" s="362"/>
      <c r="P12" s="347">
        <f t="shared" si="1"/>
        <v>25764</v>
      </c>
      <c r="Q12" s="363"/>
      <c r="R12" s="358"/>
      <c r="S12" s="358"/>
      <c r="T12" s="322">
        <v>104425</v>
      </c>
      <c r="U12" s="333"/>
      <c r="V12" s="340"/>
      <c r="W12" s="363"/>
      <c r="X12" s="357"/>
      <c r="Y12" s="331">
        <f aca="true" t="shared" si="4" ref="Y12:Y19">SUM(Q12:V12)</f>
        <v>104425</v>
      </c>
      <c r="Z12" s="357"/>
      <c r="AA12" s="358"/>
      <c r="AB12" s="340"/>
      <c r="AC12" s="331">
        <f aca="true" t="shared" si="5" ref="AC12:AC19">SUM(Z12:AB12)</f>
        <v>0</v>
      </c>
      <c r="AD12" s="334">
        <f t="shared" si="2"/>
        <v>130189</v>
      </c>
    </row>
    <row r="13" spans="2:30" ht="34.5" customHeight="1">
      <c r="B13" s="365" t="s">
        <v>2648</v>
      </c>
      <c r="C13" s="322">
        <f t="shared" si="0"/>
        <v>0</v>
      </c>
      <c r="D13" s="344"/>
      <c r="E13" s="344"/>
      <c r="F13" s="344"/>
      <c r="G13" s="344"/>
      <c r="H13" s="322"/>
      <c r="I13" s="344"/>
      <c r="J13" s="333"/>
      <c r="K13" s="333"/>
      <c r="L13" s="333"/>
      <c r="M13" s="358"/>
      <c r="N13" s="358"/>
      <c r="O13" s="362"/>
      <c r="P13" s="347">
        <f t="shared" si="1"/>
        <v>0</v>
      </c>
      <c r="Q13" s="329">
        <v>180000</v>
      </c>
      <c r="R13" s="358"/>
      <c r="S13" s="358"/>
      <c r="T13" s="322">
        <v>46302.4</v>
      </c>
      <c r="U13" s="333"/>
      <c r="V13" s="340"/>
      <c r="W13" s="363"/>
      <c r="X13" s="357"/>
      <c r="Y13" s="331">
        <f t="shared" si="4"/>
        <v>226302.4</v>
      </c>
      <c r="Z13" s="357"/>
      <c r="AA13" s="358"/>
      <c r="AB13" s="340"/>
      <c r="AC13" s="331">
        <f t="shared" si="5"/>
        <v>0</v>
      </c>
      <c r="AD13" s="334">
        <f t="shared" si="2"/>
        <v>226302.4</v>
      </c>
    </row>
    <row r="14" spans="2:30" s="341" customFormat="1" ht="34.5" customHeight="1">
      <c r="B14" s="365" t="s">
        <v>2649</v>
      </c>
      <c r="C14" s="322">
        <f t="shared" si="0"/>
        <v>0</v>
      </c>
      <c r="D14" s="344"/>
      <c r="E14" s="344"/>
      <c r="F14" s="344"/>
      <c r="G14" s="344"/>
      <c r="H14" s="322"/>
      <c r="I14" s="344"/>
      <c r="J14" s="345"/>
      <c r="K14" s="345"/>
      <c r="L14" s="345"/>
      <c r="M14" s="353"/>
      <c r="N14" s="353"/>
      <c r="O14" s="366"/>
      <c r="P14" s="347">
        <f t="shared" si="1"/>
        <v>0</v>
      </c>
      <c r="Q14" s="348">
        <v>122958</v>
      </c>
      <c r="R14" s="353"/>
      <c r="S14" s="353"/>
      <c r="T14" s="322">
        <v>22046</v>
      </c>
      <c r="U14" s="345"/>
      <c r="V14" s="354"/>
      <c r="W14" s="367"/>
      <c r="X14" s="352"/>
      <c r="Y14" s="351">
        <f t="shared" si="4"/>
        <v>145004</v>
      </c>
      <c r="Z14" s="352"/>
      <c r="AA14" s="353"/>
      <c r="AB14" s="354"/>
      <c r="AC14" s="331">
        <f t="shared" si="5"/>
        <v>0</v>
      </c>
      <c r="AD14" s="334">
        <f t="shared" si="2"/>
        <v>145004</v>
      </c>
    </row>
    <row r="15" spans="2:30" ht="34.5" customHeight="1">
      <c r="B15" s="368" t="s">
        <v>2650</v>
      </c>
      <c r="C15" s="322">
        <f t="shared" si="0"/>
        <v>112500</v>
      </c>
      <c r="D15" s="344"/>
      <c r="E15" s="344"/>
      <c r="F15" s="344">
        <v>93700</v>
      </c>
      <c r="G15" s="344">
        <v>18800</v>
      </c>
      <c r="H15" s="322">
        <v>30000</v>
      </c>
      <c r="I15" s="344"/>
      <c r="J15" s="333"/>
      <c r="K15" s="333"/>
      <c r="L15" s="333"/>
      <c r="M15" s="358"/>
      <c r="N15" s="358"/>
      <c r="O15" s="362"/>
      <c r="P15" s="347">
        <f t="shared" si="1"/>
        <v>142500</v>
      </c>
      <c r="Q15" s="329">
        <v>900</v>
      </c>
      <c r="R15" s="358"/>
      <c r="S15" s="358"/>
      <c r="T15" s="322">
        <v>66427</v>
      </c>
      <c r="U15" s="333"/>
      <c r="V15" s="340"/>
      <c r="W15" s="363"/>
      <c r="X15" s="357"/>
      <c r="Y15" s="331">
        <f t="shared" si="4"/>
        <v>67327</v>
      </c>
      <c r="Z15" s="357"/>
      <c r="AA15" s="358"/>
      <c r="AB15" s="340"/>
      <c r="AC15" s="331">
        <f t="shared" si="5"/>
        <v>0</v>
      </c>
      <c r="AD15" s="334">
        <f t="shared" si="2"/>
        <v>209827</v>
      </c>
    </row>
    <row r="16" spans="2:30" s="341" customFormat="1" ht="34.5" customHeight="1">
      <c r="B16" s="368" t="s">
        <v>2651</v>
      </c>
      <c r="C16" s="322">
        <f t="shared" si="0"/>
        <v>0</v>
      </c>
      <c r="D16" s="344"/>
      <c r="E16" s="344"/>
      <c r="F16" s="344"/>
      <c r="G16" s="344"/>
      <c r="H16" s="322"/>
      <c r="I16" s="344"/>
      <c r="J16" s="345"/>
      <c r="K16" s="345"/>
      <c r="L16" s="345"/>
      <c r="M16" s="353"/>
      <c r="N16" s="353"/>
      <c r="O16" s="366"/>
      <c r="P16" s="347">
        <f t="shared" si="1"/>
        <v>0</v>
      </c>
      <c r="Q16" s="367"/>
      <c r="R16" s="353"/>
      <c r="S16" s="353"/>
      <c r="T16" s="322">
        <v>7254368</v>
      </c>
      <c r="U16" s="345"/>
      <c r="V16" s="354"/>
      <c r="W16" s="367"/>
      <c r="X16" s="352"/>
      <c r="Y16" s="351">
        <f t="shared" si="4"/>
        <v>7254368</v>
      </c>
      <c r="Z16" s="352"/>
      <c r="AA16" s="353"/>
      <c r="AB16" s="354"/>
      <c r="AC16" s="331">
        <f t="shared" si="5"/>
        <v>0</v>
      </c>
      <c r="AD16" s="334">
        <f t="shared" si="2"/>
        <v>7254368</v>
      </c>
    </row>
    <row r="17" spans="2:30" s="341" customFormat="1" ht="34.5" customHeight="1">
      <c r="B17" s="365" t="s">
        <v>2652</v>
      </c>
      <c r="C17" s="322">
        <f t="shared" si="0"/>
        <v>0</v>
      </c>
      <c r="D17" s="344"/>
      <c r="E17" s="344"/>
      <c r="F17" s="344"/>
      <c r="G17" s="344"/>
      <c r="H17" s="322">
        <v>856000</v>
      </c>
      <c r="I17" s="344"/>
      <c r="J17" s="345"/>
      <c r="K17" s="345"/>
      <c r="L17" s="345"/>
      <c r="M17" s="353"/>
      <c r="N17" s="353"/>
      <c r="O17" s="366"/>
      <c r="P17" s="347">
        <f t="shared" si="1"/>
        <v>856000</v>
      </c>
      <c r="Q17" s="367"/>
      <c r="R17" s="353"/>
      <c r="S17" s="353"/>
      <c r="T17" s="322">
        <v>87000</v>
      </c>
      <c r="U17" s="345"/>
      <c r="V17" s="354"/>
      <c r="W17" s="367"/>
      <c r="X17" s="352"/>
      <c r="Y17" s="351">
        <f t="shared" si="4"/>
        <v>87000</v>
      </c>
      <c r="Z17" s="352"/>
      <c r="AA17" s="353"/>
      <c r="AB17" s="354"/>
      <c r="AC17" s="331">
        <f t="shared" si="5"/>
        <v>0</v>
      </c>
      <c r="AD17" s="334">
        <f t="shared" si="2"/>
        <v>943000</v>
      </c>
    </row>
    <row r="18" spans="2:30" ht="34.5" customHeight="1">
      <c r="B18" s="365" t="s">
        <v>2653</v>
      </c>
      <c r="C18" s="322">
        <f t="shared" si="0"/>
        <v>0</v>
      </c>
      <c r="D18" s="344"/>
      <c r="E18" s="344"/>
      <c r="F18" s="344"/>
      <c r="G18" s="344"/>
      <c r="H18" s="322">
        <v>449734</v>
      </c>
      <c r="I18" s="344"/>
      <c r="J18" s="333"/>
      <c r="K18" s="333"/>
      <c r="L18" s="333"/>
      <c r="M18" s="358"/>
      <c r="N18" s="333"/>
      <c r="O18" s="337"/>
      <c r="P18" s="347">
        <f t="shared" si="1"/>
        <v>449734</v>
      </c>
      <c r="Q18" s="363"/>
      <c r="R18" s="358"/>
      <c r="S18" s="358"/>
      <c r="T18" s="322">
        <v>920000</v>
      </c>
      <c r="U18" s="333"/>
      <c r="V18" s="340"/>
      <c r="W18" s="363"/>
      <c r="X18" s="357"/>
      <c r="Y18" s="331">
        <f t="shared" si="4"/>
        <v>920000</v>
      </c>
      <c r="Z18" s="357"/>
      <c r="AA18" s="358"/>
      <c r="AB18" s="340"/>
      <c r="AC18" s="331">
        <f t="shared" si="5"/>
        <v>0</v>
      </c>
      <c r="AD18" s="334">
        <f t="shared" si="2"/>
        <v>1369734</v>
      </c>
    </row>
    <row r="19" spans="2:30" ht="34.5" customHeight="1">
      <c r="B19" s="365" t="s">
        <v>2534</v>
      </c>
      <c r="C19" s="322">
        <f t="shared" si="0"/>
        <v>0</v>
      </c>
      <c r="D19" s="344"/>
      <c r="E19" s="344"/>
      <c r="F19" s="344"/>
      <c r="G19" s="344"/>
      <c r="H19" s="322">
        <v>25174.5</v>
      </c>
      <c r="I19" s="344"/>
      <c r="J19" s="333"/>
      <c r="K19" s="333"/>
      <c r="L19" s="333"/>
      <c r="M19" s="358"/>
      <c r="N19" s="358"/>
      <c r="O19" s="362"/>
      <c r="P19" s="347">
        <f t="shared" si="1"/>
        <v>25174.5</v>
      </c>
      <c r="Q19" s="329">
        <v>36081.5</v>
      </c>
      <c r="R19" s="358"/>
      <c r="S19" s="358"/>
      <c r="T19" s="322">
        <v>58284.23</v>
      </c>
      <c r="U19" s="333"/>
      <c r="V19" s="340"/>
      <c r="W19" s="363"/>
      <c r="X19" s="357"/>
      <c r="Y19" s="331">
        <f t="shared" si="4"/>
        <v>94365.73000000001</v>
      </c>
      <c r="Z19" s="357"/>
      <c r="AA19" s="358"/>
      <c r="AB19" s="340"/>
      <c r="AC19" s="331">
        <f t="shared" si="5"/>
        <v>0</v>
      </c>
      <c r="AD19" s="334">
        <f t="shared" si="2"/>
        <v>119540.23000000001</v>
      </c>
    </row>
    <row r="20" spans="2:30" ht="34.5" customHeight="1">
      <c r="B20" s="369" t="s">
        <v>2654</v>
      </c>
      <c r="C20" s="360">
        <f aca="true" t="shared" si="6" ref="C20:AD20">SUM(C12:C19)</f>
        <v>112500</v>
      </c>
      <c r="D20" s="360">
        <f t="shared" si="6"/>
        <v>0</v>
      </c>
      <c r="E20" s="360">
        <f t="shared" si="6"/>
        <v>0</v>
      </c>
      <c r="F20" s="360">
        <f t="shared" si="6"/>
        <v>93700</v>
      </c>
      <c r="G20" s="360">
        <f t="shared" si="6"/>
        <v>18800</v>
      </c>
      <c r="H20" s="361">
        <f t="shared" si="6"/>
        <v>1386672.5</v>
      </c>
      <c r="I20" s="361">
        <f t="shared" si="6"/>
        <v>0</v>
      </c>
      <c r="J20" s="358">
        <f t="shared" si="6"/>
        <v>0</v>
      </c>
      <c r="K20" s="358">
        <f t="shared" si="6"/>
        <v>0</v>
      </c>
      <c r="L20" s="358">
        <f t="shared" si="6"/>
        <v>0</v>
      </c>
      <c r="M20" s="358">
        <f t="shared" si="6"/>
        <v>0</v>
      </c>
      <c r="N20" s="358">
        <f t="shared" si="6"/>
        <v>0</v>
      </c>
      <c r="O20" s="362">
        <f t="shared" si="6"/>
        <v>0</v>
      </c>
      <c r="P20" s="331">
        <f t="shared" si="6"/>
        <v>1499172.5</v>
      </c>
      <c r="Q20" s="363">
        <f t="shared" si="6"/>
        <v>339939.5</v>
      </c>
      <c r="R20" s="358">
        <f t="shared" si="6"/>
        <v>0</v>
      </c>
      <c r="S20" s="358">
        <f t="shared" si="6"/>
        <v>0</v>
      </c>
      <c r="T20" s="361">
        <f t="shared" si="6"/>
        <v>8558852.63</v>
      </c>
      <c r="U20" s="358">
        <f t="shared" si="6"/>
        <v>0</v>
      </c>
      <c r="V20" s="340">
        <f t="shared" si="6"/>
        <v>0</v>
      </c>
      <c r="W20" s="363">
        <f>SUM(W12:W19)</f>
        <v>0</v>
      </c>
      <c r="X20" s="358">
        <f>SUM(X12:X19)</f>
        <v>0</v>
      </c>
      <c r="Y20" s="331">
        <f t="shared" si="6"/>
        <v>8898792.13</v>
      </c>
      <c r="Z20" s="363">
        <f>SUM(Z12:Z19)</f>
        <v>0</v>
      </c>
      <c r="AA20" s="358">
        <f>SUM(AA12:AA19)</f>
        <v>0</v>
      </c>
      <c r="AB20" s="340">
        <f>SUM(AB12:AB19)</f>
        <v>0</v>
      </c>
      <c r="AC20" s="331">
        <f t="shared" si="6"/>
        <v>0</v>
      </c>
      <c r="AD20" s="334">
        <f t="shared" si="6"/>
        <v>10397964.63</v>
      </c>
    </row>
    <row r="21" spans="2:30" s="267" customFormat="1" ht="34.5" customHeight="1">
      <c r="B21" s="335" t="s">
        <v>2655</v>
      </c>
      <c r="C21" s="322">
        <f t="shared" si="0"/>
        <v>228600</v>
      </c>
      <c r="D21" s="336"/>
      <c r="E21" s="336"/>
      <c r="F21" s="336">
        <f>190000+24700</f>
        <v>214700</v>
      </c>
      <c r="G21" s="336">
        <v>13900</v>
      </c>
      <c r="H21" s="322">
        <v>2415000</v>
      </c>
      <c r="I21" s="336"/>
      <c r="J21" s="322"/>
      <c r="K21" s="322"/>
      <c r="L21" s="322"/>
      <c r="M21" s="322"/>
      <c r="N21" s="322"/>
      <c r="O21" s="370"/>
      <c r="P21" s="347">
        <f t="shared" si="1"/>
        <v>2643600</v>
      </c>
      <c r="Q21" s="371"/>
      <c r="R21" s="322"/>
      <c r="S21" s="322"/>
      <c r="T21" s="322">
        <v>39500</v>
      </c>
      <c r="U21" s="322"/>
      <c r="V21" s="372"/>
      <c r="W21" s="371"/>
      <c r="X21" s="373"/>
      <c r="Y21" s="374">
        <f aca="true" t="shared" si="7" ref="Y21:Y34">SUM(Q21:V21)</f>
        <v>39500</v>
      </c>
      <c r="Z21" s="375"/>
      <c r="AA21" s="361"/>
      <c r="AB21" s="376"/>
      <c r="AC21" s="331">
        <f aca="true" t="shared" si="8" ref="AC21:AC26">SUM(Z21:AB21)</f>
        <v>0</v>
      </c>
      <c r="AD21" s="334">
        <f t="shared" si="2"/>
        <v>2683100</v>
      </c>
    </row>
    <row r="22" spans="2:30" s="267" customFormat="1" ht="34.5" customHeight="1">
      <c r="B22" s="335" t="s">
        <v>2656</v>
      </c>
      <c r="C22" s="322">
        <f t="shared" si="0"/>
        <v>423790.06</v>
      </c>
      <c r="D22" s="336">
        <v>223.98</v>
      </c>
      <c r="E22" s="336">
        <v>313794.08</v>
      </c>
      <c r="F22" s="336">
        <v>109772</v>
      </c>
      <c r="G22" s="336"/>
      <c r="H22" s="322">
        <f>422000+6218</f>
        <v>428218</v>
      </c>
      <c r="I22" s="336">
        <v>6218</v>
      </c>
      <c r="J22" s="322"/>
      <c r="K22" s="322"/>
      <c r="L22" s="322"/>
      <c r="M22" s="322"/>
      <c r="N22" s="322">
        <v>464760</v>
      </c>
      <c r="O22" s="370">
        <v>368094</v>
      </c>
      <c r="P22" s="347">
        <f t="shared" si="1"/>
        <v>1684862.06</v>
      </c>
      <c r="Q22" s="371"/>
      <c r="R22" s="322"/>
      <c r="S22" s="322"/>
      <c r="T22" s="322">
        <v>59632.7</v>
      </c>
      <c r="U22" s="322"/>
      <c r="V22" s="372"/>
      <c r="W22" s="371"/>
      <c r="X22" s="373"/>
      <c r="Y22" s="374">
        <f t="shared" si="7"/>
        <v>59632.7</v>
      </c>
      <c r="Z22" s="375"/>
      <c r="AA22" s="361"/>
      <c r="AB22" s="376"/>
      <c r="AC22" s="331">
        <f t="shared" si="8"/>
        <v>0</v>
      </c>
      <c r="AD22" s="334">
        <f t="shared" si="2"/>
        <v>1744494.76</v>
      </c>
    </row>
    <row r="23" spans="2:30" s="267" customFormat="1" ht="34.5" customHeight="1">
      <c r="B23" s="335" t="s">
        <v>2589</v>
      </c>
      <c r="C23" s="322">
        <f>D23+E23+F23+G23</f>
        <v>24600</v>
      </c>
      <c r="D23" s="336"/>
      <c r="E23" s="336"/>
      <c r="F23" s="336">
        <v>4600</v>
      </c>
      <c r="G23" s="336">
        <v>20000</v>
      </c>
      <c r="H23" s="322">
        <v>487628</v>
      </c>
      <c r="I23" s="336"/>
      <c r="J23" s="322"/>
      <c r="K23" s="322"/>
      <c r="L23" s="322"/>
      <c r="M23" s="322"/>
      <c r="N23" s="322">
        <v>158240</v>
      </c>
      <c r="O23" s="370">
        <v>32959</v>
      </c>
      <c r="P23" s="347">
        <f t="shared" si="1"/>
        <v>703427</v>
      </c>
      <c r="Q23" s="371"/>
      <c r="R23" s="322"/>
      <c r="S23" s="322"/>
      <c r="T23" s="322"/>
      <c r="U23" s="322"/>
      <c r="V23" s="372"/>
      <c r="W23" s="371"/>
      <c r="X23" s="373"/>
      <c r="Y23" s="374">
        <f t="shared" si="7"/>
        <v>0</v>
      </c>
      <c r="Z23" s="375"/>
      <c r="AA23" s="361"/>
      <c r="AB23" s="376"/>
      <c r="AC23" s="331">
        <f t="shared" si="8"/>
        <v>0</v>
      </c>
      <c r="AD23" s="334">
        <f t="shared" si="2"/>
        <v>703427</v>
      </c>
    </row>
    <row r="24" spans="2:30" s="267" customFormat="1" ht="34.5" customHeight="1">
      <c r="B24" s="335" t="s">
        <v>2590</v>
      </c>
      <c r="C24" s="322">
        <f t="shared" si="0"/>
        <v>0</v>
      </c>
      <c r="D24" s="336"/>
      <c r="E24" s="336"/>
      <c r="F24" s="336"/>
      <c r="G24" s="336"/>
      <c r="H24" s="322"/>
      <c r="I24" s="336"/>
      <c r="J24" s="322"/>
      <c r="K24" s="322"/>
      <c r="L24" s="322"/>
      <c r="M24" s="322"/>
      <c r="N24" s="322"/>
      <c r="O24" s="370"/>
      <c r="P24" s="347">
        <f t="shared" si="1"/>
        <v>0</v>
      </c>
      <c r="Q24" s="371"/>
      <c r="R24" s="322"/>
      <c r="S24" s="322"/>
      <c r="T24" s="322">
        <v>1142000</v>
      </c>
      <c r="U24" s="322"/>
      <c r="V24" s="372"/>
      <c r="W24" s="371"/>
      <c r="X24" s="373"/>
      <c r="Y24" s="374">
        <f t="shared" si="7"/>
        <v>1142000</v>
      </c>
      <c r="Z24" s="375"/>
      <c r="AA24" s="361"/>
      <c r="AB24" s="376"/>
      <c r="AC24" s="331">
        <f t="shared" si="8"/>
        <v>0</v>
      </c>
      <c r="AD24" s="334">
        <f t="shared" si="2"/>
        <v>1142000</v>
      </c>
    </row>
    <row r="25" spans="2:30" s="267" customFormat="1" ht="34.5" customHeight="1">
      <c r="B25" s="335" t="s">
        <v>2657</v>
      </c>
      <c r="C25" s="322">
        <f t="shared" si="0"/>
        <v>44637</v>
      </c>
      <c r="D25" s="336">
        <v>8891</v>
      </c>
      <c r="E25" s="336">
        <v>9354</v>
      </c>
      <c r="F25" s="336">
        <v>13875</v>
      </c>
      <c r="G25" s="336">
        <v>12517</v>
      </c>
      <c r="H25" s="322">
        <v>1442209</v>
      </c>
      <c r="I25" s="336"/>
      <c r="J25" s="322"/>
      <c r="K25" s="322"/>
      <c r="L25" s="322"/>
      <c r="M25" s="322"/>
      <c r="N25" s="322">
        <v>164000</v>
      </c>
      <c r="O25" s="370">
        <v>25000</v>
      </c>
      <c r="P25" s="347">
        <f t="shared" si="1"/>
        <v>1675846</v>
      </c>
      <c r="Q25" s="371">
        <v>240</v>
      </c>
      <c r="R25" s="322"/>
      <c r="S25" s="322"/>
      <c r="T25" s="322">
        <v>34347</v>
      </c>
      <c r="U25" s="322"/>
      <c r="V25" s="372"/>
      <c r="W25" s="371"/>
      <c r="X25" s="373"/>
      <c r="Y25" s="374">
        <f t="shared" si="7"/>
        <v>34587</v>
      </c>
      <c r="Z25" s="375"/>
      <c r="AA25" s="361"/>
      <c r="AB25" s="376"/>
      <c r="AC25" s="331">
        <f t="shared" si="8"/>
        <v>0</v>
      </c>
      <c r="AD25" s="334">
        <f t="shared" si="2"/>
        <v>1710433</v>
      </c>
    </row>
    <row r="26" spans="2:30" ht="34.5" customHeight="1">
      <c r="B26" s="335" t="s">
        <v>2592</v>
      </c>
      <c r="C26" s="322">
        <f t="shared" si="0"/>
        <v>183750</v>
      </c>
      <c r="D26" s="344">
        <v>77989</v>
      </c>
      <c r="E26" s="344">
        <v>56727</v>
      </c>
      <c r="F26" s="344">
        <v>1000</v>
      </c>
      <c r="G26" s="344">
        <v>48034</v>
      </c>
      <c r="H26" s="322">
        <v>2500</v>
      </c>
      <c r="I26" s="336">
        <v>2500</v>
      </c>
      <c r="J26" s="333"/>
      <c r="K26" s="333"/>
      <c r="L26" s="333"/>
      <c r="M26" s="333"/>
      <c r="N26" s="333">
        <v>200000</v>
      </c>
      <c r="O26" s="337">
        <v>50000</v>
      </c>
      <c r="P26" s="347">
        <f t="shared" si="1"/>
        <v>436250</v>
      </c>
      <c r="Q26" s="329"/>
      <c r="R26" s="333"/>
      <c r="S26" s="333"/>
      <c r="T26" s="322">
        <v>7693.5</v>
      </c>
      <c r="U26" s="333"/>
      <c r="V26" s="338"/>
      <c r="W26" s="329"/>
      <c r="X26" s="339"/>
      <c r="Y26" s="331">
        <f t="shared" si="7"/>
        <v>7693.5</v>
      </c>
      <c r="Z26" s="357"/>
      <c r="AA26" s="358"/>
      <c r="AB26" s="340"/>
      <c r="AC26" s="331">
        <f t="shared" si="8"/>
        <v>0</v>
      </c>
      <c r="AD26" s="334">
        <f t="shared" si="2"/>
        <v>443943.5</v>
      </c>
    </row>
    <row r="27" spans="2:30" ht="34.5" customHeight="1">
      <c r="B27" s="359" t="s">
        <v>2658</v>
      </c>
      <c r="C27" s="360">
        <f aca="true" t="shared" si="9" ref="C27:AD27">SUM(C21:C26)</f>
        <v>905377.06</v>
      </c>
      <c r="D27" s="360">
        <f>SUM(D21:D26)</f>
        <v>87103.98</v>
      </c>
      <c r="E27" s="360">
        <f>SUM(E21:E26)</f>
        <v>379875.08</v>
      </c>
      <c r="F27" s="360">
        <f>SUM(F21:F26)</f>
        <v>343947</v>
      </c>
      <c r="G27" s="360">
        <f>SUM(G21:G26)</f>
        <v>94451</v>
      </c>
      <c r="H27" s="361">
        <f t="shared" si="9"/>
        <v>4775555</v>
      </c>
      <c r="I27" s="361">
        <f t="shared" si="9"/>
        <v>8718</v>
      </c>
      <c r="J27" s="353">
        <f t="shared" si="9"/>
        <v>0</v>
      </c>
      <c r="K27" s="353">
        <f>SUM(K21:K26)</f>
        <v>0</v>
      </c>
      <c r="L27" s="353">
        <f>SUM(L21:L26)</f>
        <v>0</v>
      </c>
      <c r="M27" s="353">
        <f t="shared" si="9"/>
        <v>0</v>
      </c>
      <c r="N27" s="353">
        <f t="shared" si="9"/>
        <v>987000</v>
      </c>
      <c r="O27" s="366">
        <f t="shared" si="9"/>
        <v>476053</v>
      </c>
      <c r="P27" s="351">
        <f t="shared" si="9"/>
        <v>7143985.0600000005</v>
      </c>
      <c r="Q27" s="367">
        <f t="shared" si="9"/>
        <v>240</v>
      </c>
      <c r="R27" s="353">
        <f t="shared" si="9"/>
        <v>0</v>
      </c>
      <c r="S27" s="353">
        <f t="shared" si="9"/>
        <v>0</v>
      </c>
      <c r="T27" s="361">
        <f t="shared" si="9"/>
        <v>1283173.2</v>
      </c>
      <c r="U27" s="353">
        <f t="shared" si="9"/>
        <v>0</v>
      </c>
      <c r="V27" s="354">
        <f t="shared" si="9"/>
        <v>0</v>
      </c>
      <c r="W27" s="367">
        <f>SUM(W21:W26)</f>
        <v>0</v>
      </c>
      <c r="X27" s="353">
        <f>SUM(X21:X26)</f>
        <v>0</v>
      </c>
      <c r="Y27" s="351">
        <f t="shared" si="9"/>
        <v>1283413.2</v>
      </c>
      <c r="Z27" s="367">
        <f>SUM(Z21:Z26)</f>
        <v>0</v>
      </c>
      <c r="AA27" s="353">
        <f>SUM(AA21:AA26)</f>
        <v>0</v>
      </c>
      <c r="AB27" s="354">
        <f>SUM(AB21:AB26)</f>
        <v>0</v>
      </c>
      <c r="AC27" s="351">
        <f t="shared" si="9"/>
        <v>0</v>
      </c>
      <c r="AD27" s="377">
        <f t="shared" si="9"/>
        <v>8427398.26</v>
      </c>
    </row>
    <row r="28" spans="2:30" s="341" customFormat="1" ht="34.5" customHeight="1">
      <c r="B28" s="342" t="s">
        <v>2593</v>
      </c>
      <c r="C28" s="322">
        <v>2291995</v>
      </c>
      <c r="D28" s="344">
        <v>33</v>
      </c>
      <c r="E28" s="344">
        <v>1331596</v>
      </c>
      <c r="F28" s="344">
        <f>492640-6000</f>
        <v>486640</v>
      </c>
      <c r="G28" s="344">
        <v>467726</v>
      </c>
      <c r="H28" s="322">
        <v>815457.59</v>
      </c>
      <c r="I28" s="344">
        <v>27527</v>
      </c>
      <c r="J28" s="345"/>
      <c r="K28" s="345"/>
      <c r="L28" s="345"/>
      <c r="M28" s="345"/>
      <c r="N28" s="345"/>
      <c r="O28" s="346">
        <v>13486</v>
      </c>
      <c r="P28" s="347">
        <f t="shared" si="1"/>
        <v>3120938.59</v>
      </c>
      <c r="Q28" s="348"/>
      <c r="R28" s="345"/>
      <c r="S28" s="345"/>
      <c r="T28" s="322">
        <v>95703.31</v>
      </c>
      <c r="U28" s="345"/>
      <c r="V28" s="349"/>
      <c r="W28" s="348"/>
      <c r="X28" s="350"/>
      <c r="Y28" s="351">
        <f t="shared" si="7"/>
        <v>95703.31</v>
      </c>
      <c r="Z28" s="350"/>
      <c r="AA28" s="345"/>
      <c r="AB28" s="349">
        <v>6357.1</v>
      </c>
      <c r="AC28" s="331">
        <f>SUM(Z28:AB28)</f>
        <v>6357.1</v>
      </c>
      <c r="AD28" s="334">
        <f t="shared" si="2"/>
        <v>3222999</v>
      </c>
    </row>
    <row r="29" spans="2:30" ht="34.5" customHeight="1">
      <c r="B29" s="359" t="s">
        <v>2659</v>
      </c>
      <c r="C29" s="360">
        <f aca="true" t="shared" si="10" ref="C29:AD29">C27+C28</f>
        <v>3197372.06</v>
      </c>
      <c r="D29" s="360">
        <f t="shared" si="10"/>
        <v>87136.98</v>
      </c>
      <c r="E29" s="360">
        <f t="shared" si="10"/>
        <v>1711471.08</v>
      </c>
      <c r="F29" s="360">
        <f t="shared" si="10"/>
        <v>830587</v>
      </c>
      <c r="G29" s="360">
        <f t="shared" si="10"/>
        <v>562177</v>
      </c>
      <c r="H29" s="361">
        <f t="shared" si="10"/>
        <v>5591012.59</v>
      </c>
      <c r="I29" s="361">
        <f t="shared" si="10"/>
        <v>36245</v>
      </c>
      <c r="J29" s="353">
        <f t="shared" si="10"/>
        <v>0</v>
      </c>
      <c r="K29" s="353">
        <f>K27+K28</f>
        <v>0</v>
      </c>
      <c r="L29" s="353">
        <f>L27+L28</f>
        <v>0</v>
      </c>
      <c r="M29" s="353">
        <f t="shared" si="10"/>
        <v>0</v>
      </c>
      <c r="N29" s="353">
        <f t="shared" si="10"/>
        <v>987000</v>
      </c>
      <c r="O29" s="366">
        <f t="shared" si="10"/>
        <v>489539</v>
      </c>
      <c r="P29" s="351">
        <f t="shared" si="10"/>
        <v>10264923.65</v>
      </c>
      <c r="Q29" s="367">
        <f t="shared" si="10"/>
        <v>240</v>
      </c>
      <c r="R29" s="353">
        <f t="shared" si="10"/>
        <v>0</v>
      </c>
      <c r="S29" s="353">
        <f t="shared" si="10"/>
        <v>0</v>
      </c>
      <c r="T29" s="361">
        <f t="shared" si="10"/>
        <v>1378876.51</v>
      </c>
      <c r="U29" s="353">
        <f t="shared" si="10"/>
        <v>0</v>
      </c>
      <c r="V29" s="354">
        <f t="shared" si="10"/>
        <v>0</v>
      </c>
      <c r="W29" s="367">
        <f>W27+W28</f>
        <v>0</v>
      </c>
      <c r="X29" s="353">
        <f>X27+X28</f>
        <v>0</v>
      </c>
      <c r="Y29" s="351">
        <f t="shared" si="10"/>
        <v>1379116.51</v>
      </c>
      <c r="Z29" s="367">
        <f>Z27+Z28</f>
        <v>0</v>
      </c>
      <c r="AA29" s="353">
        <f>AA27+AA28</f>
        <v>0</v>
      </c>
      <c r="AB29" s="354">
        <f>AB27+AB28</f>
        <v>6357.1</v>
      </c>
      <c r="AC29" s="351">
        <f t="shared" si="10"/>
        <v>6357.1</v>
      </c>
      <c r="AD29" s="377">
        <f t="shared" si="10"/>
        <v>11650397.26</v>
      </c>
    </row>
    <row r="30" spans="2:30" ht="34.5" customHeight="1">
      <c r="B30" s="365" t="s">
        <v>2660</v>
      </c>
      <c r="C30" s="322">
        <f t="shared" si="0"/>
        <v>21400</v>
      </c>
      <c r="D30" s="378"/>
      <c r="E30" s="378">
        <v>11000</v>
      </c>
      <c r="F30" s="378">
        <v>4400</v>
      </c>
      <c r="G30" s="378">
        <v>6000</v>
      </c>
      <c r="H30" s="322"/>
      <c r="I30" s="378"/>
      <c r="J30" s="333"/>
      <c r="K30" s="333"/>
      <c r="L30" s="333"/>
      <c r="M30" s="333"/>
      <c r="N30" s="333">
        <v>90000</v>
      </c>
      <c r="O30" s="337">
        <v>31647</v>
      </c>
      <c r="P30" s="347">
        <f t="shared" si="1"/>
        <v>143047</v>
      </c>
      <c r="Q30" s="329"/>
      <c r="R30" s="333"/>
      <c r="S30" s="333"/>
      <c r="T30" s="322"/>
      <c r="U30" s="333"/>
      <c r="V30" s="338"/>
      <c r="W30" s="329"/>
      <c r="X30" s="339"/>
      <c r="Y30" s="331">
        <f t="shared" si="7"/>
        <v>0</v>
      </c>
      <c r="Z30" s="363"/>
      <c r="AA30" s="358"/>
      <c r="AB30" s="340"/>
      <c r="AC30" s="331">
        <f>SUM(Z30:AB30)</f>
        <v>0</v>
      </c>
      <c r="AD30" s="334">
        <f t="shared" si="2"/>
        <v>143047</v>
      </c>
    </row>
    <row r="31" spans="2:30" ht="34.5" customHeight="1">
      <c r="B31" s="369" t="s">
        <v>2661</v>
      </c>
      <c r="C31" s="360">
        <f aca="true" t="shared" si="11" ref="C31:AD31">SUM(C29:C30)</f>
        <v>3218772.06</v>
      </c>
      <c r="D31" s="360">
        <f>SUM(D29:D30)</f>
        <v>87136.98</v>
      </c>
      <c r="E31" s="360">
        <f>SUM(E29:E30)</f>
        <v>1722471.08</v>
      </c>
      <c r="F31" s="360">
        <f>SUM(F29:F30)</f>
        <v>834987</v>
      </c>
      <c r="G31" s="360">
        <f>SUM(G29:G30)</f>
        <v>568177</v>
      </c>
      <c r="H31" s="361">
        <f t="shared" si="11"/>
        <v>5591012.59</v>
      </c>
      <c r="I31" s="361">
        <f t="shared" si="11"/>
        <v>36245</v>
      </c>
      <c r="J31" s="353">
        <f t="shared" si="11"/>
        <v>0</v>
      </c>
      <c r="K31" s="353">
        <f>SUM(K29:K30)</f>
        <v>0</v>
      </c>
      <c r="L31" s="353">
        <f>SUM(L29:L30)</f>
        <v>0</v>
      </c>
      <c r="M31" s="353">
        <f t="shared" si="11"/>
        <v>0</v>
      </c>
      <c r="N31" s="353">
        <f t="shared" si="11"/>
        <v>1077000</v>
      </c>
      <c r="O31" s="366">
        <f t="shared" si="11"/>
        <v>521186</v>
      </c>
      <c r="P31" s="351">
        <f t="shared" si="11"/>
        <v>10407970.65</v>
      </c>
      <c r="Q31" s="367">
        <f t="shared" si="11"/>
        <v>240</v>
      </c>
      <c r="R31" s="353">
        <f t="shared" si="11"/>
        <v>0</v>
      </c>
      <c r="S31" s="353">
        <f t="shared" si="11"/>
        <v>0</v>
      </c>
      <c r="T31" s="361">
        <f t="shared" si="11"/>
        <v>1378876.51</v>
      </c>
      <c r="U31" s="353">
        <f t="shared" si="11"/>
        <v>0</v>
      </c>
      <c r="V31" s="354">
        <f t="shared" si="11"/>
        <v>0</v>
      </c>
      <c r="W31" s="367">
        <f>SUM(W29:W30)</f>
        <v>0</v>
      </c>
      <c r="X31" s="353">
        <f>SUM(X29:X30)</f>
        <v>0</v>
      </c>
      <c r="Y31" s="351">
        <f t="shared" si="11"/>
        <v>1379116.51</v>
      </c>
      <c r="Z31" s="367">
        <f t="shared" si="11"/>
        <v>0</v>
      </c>
      <c r="AA31" s="353">
        <f t="shared" si="11"/>
        <v>0</v>
      </c>
      <c r="AB31" s="354">
        <f t="shared" si="11"/>
        <v>6357.1</v>
      </c>
      <c r="AC31" s="351">
        <f t="shared" si="11"/>
        <v>6357.1</v>
      </c>
      <c r="AD31" s="377">
        <f t="shared" si="11"/>
        <v>11793444.26</v>
      </c>
    </row>
    <row r="32" spans="2:30" ht="34.5" customHeight="1">
      <c r="B32" s="342" t="s">
        <v>2662</v>
      </c>
      <c r="C32" s="322">
        <f t="shared" si="0"/>
        <v>4983031.45</v>
      </c>
      <c r="D32" s="344"/>
      <c r="E32" s="344"/>
      <c r="F32" s="344">
        <v>2970491</v>
      </c>
      <c r="G32" s="344">
        <v>2012540.45</v>
      </c>
      <c r="H32" s="322">
        <v>25028391.57</v>
      </c>
      <c r="I32" s="344">
        <v>3500</v>
      </c>
      <c r="J32" s="333"/>
      <c r="K32" s="333"/>
      <c r="L32" s="333"/>
      <c r="M32" s="333"/>
      <c r="N32" s="333">
        <v>10925199</v>
      </c>
      <c r="O32" s="337">
        <v>2454366</v>
      </c>
      <c r="P32" s="347">
        <f t="shared" si="1"/>
        <v>43390988.019999996</v>
      </c>
      <c r="Q32" s="329">
        <v>2476</v>
      </c>
      <c r="R32" s="333"/>
      <c r="S32" s="333">
        <v>8444103.2</v>
      </c>
      <c r="T32" s="322">
        <v>56756397.86</v>
      </c>
      <c r="U32" s="333"/>
      <c r="V32" s="338"/>
      <c r="W32" s="329"/>
      <c r="X32" s="339"/>
      <c r="Y32" s="331">
        <f>SUM(Q32:V32)</f>
        <v>65202977.06</v>
      </c>
      <c r="Z32" s="357"/>
      <c r="AA32" s="358"/>
      <c r="AB32" s="340"/>
      <c r="AC32" s="331">
        <f>SUM(Z32:AB32)</f>
        <v>0</v>
      </c>
      <c r="AD32" s="334">
        <f t="shared" si="2"/>
        <v>108593965.08</v>
      </c>
    </row>
    <row r="33" spans="2:30" ht="34.5" customHeight="1">
      <c r="B33" s="335" t="s">
        <v>2663</v>
      </c>
      <c r="C33" s="322">
        <f t="shared" si="0"/>
        <v>415000</v>
      </c>
      <c r="D33" s="344"/>
      <c r="E33" s="344">
        <v>178972</v>
      </c>
      <c r="F33" s="344">
        <v>77</v>
      </c>
      <c r="G33" s="344">
        <v>235951</v>
      </c>
      <c r="H33" s="322">
        <f>27388718.1+4400</f>
        <v>27393118.1</v>
      </c>
      <c r="I33" s="344">
        <v>3900</v>
      </c>
      <c r="J33" s="333"/>
      <c r="K33" s="333"/>
      <c r="L33" s="333"/>
      <c r="M33" s="333"/>
      <c r="N33" s="333"/>
      <c r="O33" s="337"/>
      <c r="P33" s="347">
        <f t="shared" si="1"/>
        <v>27808118.1</v>
      </c>
      <c r="Q33" s="329"/>
      <c r="R33" s="333"/>
      <c r="S33" s="333"/>
      <c r="T33" s="322">
        <v>27609626.95</v>
      </c>
      <c r="U33" s="333"/>
      <c r="V33" s="338"/>
      <c r="W33" s="329"/>
      <c r="X33" s="339"/>
      <c r="Y33" s="331">
        <f t="shared" si="7"/>
        <v>27609626.95</v>
      </c>
      <c r="Z33" s="357"/>
      <c r="AA33" s="358"/>
      <c r="AB33" s="340"/>
      <c r="AC33" s="331">
        <f>SUM(Z33:AB33)</f>
        <v>0</v>
      </c>
      <c r="AD33" s="334">
        <f t="shared" si="2"/>
        <v>55417745.05</v>
      </c>
    </row>
    <row r="34" spans="2:30" ht="34.5" customHeight="1">
      <c r="B34" s="342" t="s">
        <v>2664</v>
      </c>
      <c r="C34" s="322">
        <f t="shared" si="0"/>
        <v>109000</v>
      </c>
      <c r="D34" s="344"/>
      <c r="E34" s="344">
        <v>80000</v>
      </c>
      <c r="F34" s="379"/>
      <c r="G34" s="344">
        <v>29000</v>
      </c>
      <c r="H34" s="322">
        <f>3000+2000</f>
        <v>5000</v>
      </c>
      <c r="I34" s="344">
        <v>2000</v>
      </c>
      <c r="J34" s="353"/>
      <c r="K34" s="353"/>
      <c r="L34" s="353"/>
      <c r="M34" s="353"/>
      <c r="N34" s="353"/>
      <c r="O34" s="366"/>
      <c r="P34" s="347">
        <f t="shared" si="1"/>
        <v>114000</v>
      </c>
      <c r="Q34" s="348">
        <v>44.2</v>
      </c>
      <c r="R34" s="353"/>
      <c r="S34" s="353"/>
      <c r="T34" s="322">
        <v>1199.8</v>
      </c>
      <c r="U34" s="353"/>
      <c r="V34" s="354"/>
      <c r="W34" s="367"/>
      <c r="X34" s="352"/>
      <c r="Y34" s="331">
        <f t="shared" si="7"/>
        <v>1244</v>
      </c>
      <c r="Z34" s="357"/>
      <c r="AA34" s="358"/>
      <c r="AB34" s="340"/>
      <c r="AC34" s="331">
        <f>SUM(Z34:AB34)</f>
        <v>0</v>
      </c>
      <c r="AD34" s="334">
        <f t="shared" si="2"/>
        <v>115244</v>
      </c>
    </row>
    <row r="35" spans="2:30" ht="34.5" customHeight="1">
      <c r="B35" s="359" t="s">
        <v>2665</v>
      </c>
      <c r="C35" s="360">
        <f aca="true" t="shared" si="12" ref="C35:AD35">SUM(C32:C34)</f>
        <v>5507031.45</v>
      </c>
      <c r="D35" s="360">
        <f>SUM(D32:D34)</f>
        <v>0</v>
      </c>
      <c r="E35" s="360">
        <f>SUM(E32:E34)</f>
        <v>258972</v>
      </c>
      <c r="F35" s="360">
        <f>SUM(F32:F34)</f>
        <v>2970568</v>
      </c>
      <c r="G35" s="360">
        <f>SUM(G32:G34)</f>
        <v>2277491.45</v>
      </c>
      <c r="H35" s="361">
        <f t="shared" si="12"/>
        <v>52426509.67</v>
      </c>
      <c r="I35" s="361">
        <f t="shared" si="12"/>
        <v>9400</v>
      </c>
      <c r="J35" s="353">
        <f t="shared" si="12"/>
        <v>0</v>
      </c>
      <c r="K35" s="353">
        <f>SUM(K32:K34)</f>
        <v>0</v>
      </c>
      <c r="L35" s="353">
        <f>SUM(L32:L34)</f>
        <v>0</v>
      </c>
      <c r="M35" s="353">
        <f t="shared" si="12"/>
        <v>0</v>
      </c>
      <c r="N35" s="353">
        <f t="shared" si="12"/>
        <v>10925199</v>
      </c>
      <c r="O35" s="366">
        <f t="shared" si="12"/>
        <v>2454366</v>
      </c>
      <c r="P35" s="351">
        <f t="shared" si="12"/>
        <v>71313106.12</v>
      </c>
      <c r="Q35" s="367">
        <f t="shared" si="12"/>
        <v>2520.2</v>
      </c>
      <c r="R35" s="353">
        <f t="shared" si="12"/>
        <v>0</v>
      </c>
      <c r="S35" s="353">
        <f t="shared" si="12"/>
        <v>8444103.2</v>
      </c>
      <c r="T35" s="361">
        <f t="shared" si="12"/>
        <v>84367224.61</v>
      </c>
      <c r="U35" s="353">
        <f t="shared" si="12"/>
        <v>0</v>
      </c>
      <c r="V35" s="354">
        <f t="shared" si="12"/>
        <v>0</v>
      </c>
      <c r="W35" s="367">
        <f>SUM(W32:W34)</f>
        <v>0</v>
      </c>
      <c r="X35" s="353">
        <f>SUM(X32:X34)</f>
        <v>0</v>
      </c>
      <c r="Y35" s="351">
        <f t="shared" si="12"/>
        <v>92813848.01</v>
      </c>
      <c r="Z35" s="367">
        <f>SUM(Z32:Z34)</f>
        <v>0</v>
      </c>
      <c r="AA35" s="353">
        <f>SUM(AA32:AA34)</f>
        <v>0</v>
      </c>
      <c r="AB35" s="354">
        <f>SUM(AB32:AB34)</f>
        <v>0</v>
      </c>
      <c r="AC35" s="351">
        <f t="shared" si="12"/>
        <v>0</v>
      </c>
      <c r="AD35" s="377">
        <f t="shared" si="12"/>
        <v>164126954.13</v>
      </c>
    </row>
    <row r="36" spans="2:30" ht="34.5" customHeight="1" thickBot="1">
      <c r="B36" s="380" t="s">
        <v>2666</v>
      </c>
      <c r="C36" s="381">
        <f aca="true" t="shared" si="13" ref="C36:AD36">C11+C20+C31+C35</f>
        <v>68716664.13</v>
      </c>
      <c r="D36" s="381">
        <f>D11+D20+D31+D35</f>
        <v>2681604.98</v>
      </c>
      <c r="E36" s="381">
        <f>E11+E20+E31+E35</f>
        <v>4508374.08</v>
      </c>
      <c r="F36" s="381">
        <f>F11+F20+F31+F35</f>
        <v>56884204</v>
      </c>
      <c r="G36" s="381">
        <f>G11+G20+G31+G35</f>
        <v>4636481.07</v>
      </c>
      <c r="H36" s="382">
        <f t="shared" si="13"/>
        <v>360439276.65999997</v>
      </c>
      <c r="I36" s="382">
        <f t="shared" si="13"/>
        <v>114563</v>
      </c>
      <c r="J36" s="383">
        <f t="shared" si="13"/>
        <v>2083750</v>
      </c>
      <c r="K36" s="383">
        <f>K11+K20+K31+K35</f>
        <v>5044000</v>
      </c>
      <c r="L36" s="383">
        <f>L11+L20+L31+L35</f>
        <v>4337000</v>
      </c>
      <c r="M36" s="383">
        <f t="shared" si="13"/>
        <v>1508563</v>
      </c>
      <c r="N36" s="383">
        <f t="shared" si="13"/>
        <v>107189104</v>
      </c>
      <c r="O36" s="384">
        <f t="shared" si="13"/>
        <v>16558794</v>
      </c>
      <c r="P36" s="385">
        <f t="shared" si="13"/>
        <v>565877151.79</v>
      </c>
      <c r="Q36" s="386">
        <f t="shared" si="13"/>
        <v>76533359.07000001</v>
      </c>
      <c r="R36" s="383">
        <f t="shared" si="13"/>
        <v>0</v>
      </c>
      <c r="S36" s="383">
        <f t="shared" si="13"/>
        <v>57134445.2</v>
      </c>
      <c r="T36" s="382">
        <f t="shared" si="13"/>
        <v>624362435.23</v>
      </c>
      <c r="U36" s="383">
        <f t="shared" si="13"/>
        <v>36005294.699999996</v>
      </c>
      <c r="V36" s="387">
        <f t="shared" si="13"/>
        <v>26265784.93</v>
      </c>
      <c r="W36" s="386">
        <f>W11+W20+W31+W35</f>
        <v>26253124.130000003</v>
      </c>
      <c r="X36" s="383">
        <f>X11+X20+X31+X35</f>
        <v>12660.8</v>
      </c>
      <c r="Y36" s="385">
        <f t="shared" si="13"/>
        <v>820301319.13</v>
      </c>
      <c r="Z36" s="388">
        <f>Z11+Z20+Z31+Z35</f>
        <v>0</v>
      </c>
      <c r="AA36" s="383">
        <f>AA11+AA20+AA31+AA35</f>
        <v>0</v>
      </c>
      <c r="AB36" s="387">
        <f>AB11+AB20+AB31+AB35</f>
        <v>9433</v>
      </c>
      <c r="AC36" s="385">
        <f t="shared" si="13"/>
        <v>9433</v>
      </c>
      <c r="AD36" s="389">
        <f t="shared" si="13"/>
        <v>1386187903.92</v>
      </c>
    </row>
    <row r="37" spans="2:30" ht="17.25">
      <c r="B37" s="390"/>
      <c r="C37" s="390"/>
      <c r="D37" s="390"/>
      <c r="E37" s="390"/>
      <c r="F37" s="390"/>
      <c r="G37" s="390"/>
      <c r="H37" s="391"/>
      <c r="I37" s="390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1"/>
      <c r="U37" s="392"/>
      <c r="V37" s="1814" t="s">
        <v>3812</v>
      </c>
      <c r="W37" s="392"/>
      <c r="X37" s="392"/>
      <c r="Y37" s="392"/>
      <c r="Z37" s="392"/>
      <c r="AA37" s="392"/>
      <c r="AB37" s="392"/>
      <c r="AC37" s="392"/>
      <c r="AD37" s="392"/>
    </row>
    <row r="38" ht="15">
      <c r="B38" s="1259" t="s">
        <v>3713</v>
      </c>
    </row>
    <row r="39" ht="18.75" customHeight="1">
      <c r="B39" s="1259" t="s">
        <v>3813</v>
      </c>
    </row>
    <row r="40" ht="18.75" customHeight="1">
      <c r="B40" s="1259"/>
    </row>
    <row r="41" spans="2:30" ht="17.25">
      <c r="B41" s="1341" t="s">
        <v>3746</v>
      </c>
      <c r="Y41" s="1486" t="s">
        <v>3602</v>
      </c>
      <c r="AD41" s="1487" t="s">
        <v>3510</v>
      </c>
    </row>
  </sheetData>
  <mergeCells count="3">
    <mergeCell ref="D4:G4"/>
    <mergeCell ref="W4:X4"/>
    <mergeCell ref="B2:AD2"/>
  </mergeCells>
  <printOptions horizontalCentered="1"/>
  <pageMargins left="0" right="0" top="0.7874015748031497" bottom="0" header="0.5118110236220472" footer="0.11811023622047245"/>
  <pageSetup fitToHeight="1" fitToWidth="1" horizontalDpi="600" verticalDpi="600" orientation="landscape" paperSize="9" scale="37" r:id="rId1"/>
  <headerFooter alignWithMargins="0">
    <oddFooter>&amp;C&amp;14&amp;P+133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"/>
  <sheetViews>
    <sheetView workbookViewId="0" topLeftCell="B1">
      <selection activeCell="B1" sqref="B1"/>
    </sheetView>
  </sheetViews>
  <sheetFormatPr defaultColWidth="9.00390625" defaultRowHeight="12.75"/>
  <cols>
    <col min="1" max="1" width="3.375" style="0" customWidth="1"/>
    <col min="2" max="2" width="26.50390625" style="0" customWidth="1"/>
    <col min="3" max="3" width="19.50390625" style="0" customWidth="1"/>
    <col min="4" max="7" width="19.50390625" style="0" hidden="1" customWidth="1"/>
    <col min="8" max="8" width="20.875" style="267" customWidth="1"/>
    <col min="9" max="9" width="19.50390625" style="0" hidden="1" customWidth="1"/>
    <col min="10" max="10" width="22.00390625" style="0" hidden="1" customWidth="1"/>
    <col min="11" max="11" width="17.50390625" style="0" hidden="1" customWidth="1"/>
    <col min="12" max="12" width="18.50390625" style="0" hidden="1" customWidth="1"/>
    <col min="13" max="13" width="17.625" style="0" hidden="1" customWidth="1"/>
    <col min="14" max="15" width="21.00390625" style="0" customWidth="1"/>
    <col min="16" max="16" width="27.125" style="0" customWidth="1"/>
    <col min="17" max="17" width="20.625" style="0" customWidth="1"/>
    <col min="18" max="18" width="16.375" style="0" hidden="1" customWidth="1"/>
    <col min="19" max="19" width="19.50390625" style="0" customWidth="1"/>
    <col min="20" max="20" width="21.375" style="267" customWidth="1"/>
    <col min="21" max="21" width="21.375" style="0" hidden="1" customWidth="1"/>
    <col min="22" max="22" width="20.875" style="0" hidden="1" customWidth="1"/>
    <col min="23" max="23" width="20.125" style="0" hidden="1" customWidth="1"/>
    <col min="24" max="24" width="17.00390625" style="0" hidden="1" customWidth="1"/>
    <col min="25" max="25" width="32.00390625" style="0" customWidth="1"/>
    <col min="26" max="26" width="16.125" style="0" hidden="1" customWidth="1"/>
    <col min="27" max="27" width="16.00390625" style="0" hidden="1" customWidth="1"/>
    <col min="28" max="28" width="16.625" style="0" hidden="1" customWidth="1"/>
    <col min="29" max="29" width="17.50390625" style="0" hidden="1" customWidth="1"/>
    <col min="30" max="30" width="24.50390625" style="0" customWidth="1"/>
  </cols>
  <sheetData>
    <row r="1" spans="2:30" ht="17.25">
      <c r="B1" s="393"/>
      <c r="C1" s="393"/>
      <c r="D1" s="393"/>
      <c r="E1" s="393"/>
      <c r="F1" s="393"/>
      <c r="G1" s="393"/>
      <c r="H1" s="394"/>
      <c r="I1" s="393"/>
      <c r="J1" s="394"/>
      <c r="K1" s="394"/>
      <c r="L1" s="394"/>
      <c r="M1" s="394"/>
      <c r="O1" s="395"/>
      <c r="P1" s="396"/>
      <c r="Q1" s="397"/>
      <c r="R1" s="394"/>
      <c r="S1" s="395"/>
      <c r="T1" s="396"/>
      <c r="U1" s="397"/>
      <c r="V1" s="268"/>
      <c r="W1" s="268"/>
      <c r="X1" s="268"/>
      <c r="Z1" s="396"/>
      <c r="AA1" s="396"/>
      <c r="AB1" s="397"/>
      <c r="AC1" s="397"/>
      <c r="AD1" s="398"/>
    </row>
    <row r="2" spans="2:30" ht="17.25">
      <c r="B2" s="1483" t="s">
        <v>3513</v>
      </c>
      <c r="C2" s="393"/>
      <c r="D2" s="393"/>
      <c r="E2" s="393"/>
      <c r="F2" s="393"/>
      <c r="G2" s="393"/>
      <c r="H2" s="394"/>
      <c r="I2" s="393"/>
      <c r="J2" s="394"/>
      <c r="K2" s="394"/>
      <c r="L2" s="394"/>
      <c r="M2" s="394"/>
      <c r="O2" s="395"/>
      <c r="P2" s="396"/>
      <c r="Q2" s="397"/>
      <c r="R2" s="394"/>
      <c r="S2" s="395"/>
      <c r="T2" s="396"/>
      <c r="U2" s="397"/>
      <c r="V2" s="268"/>
      <c r="W2" s="268"/>
      <c r="X2" s="268"/>
      <c r="Z2" s="396"/>
      <c r="AA2" s="396"/>
      <c r="AB2" s="397"/>
      <c r="AC2" s="397"/>
      <c r="AD2" s="272" t="s">
        <v>3715</v>
      </c>
    </row>
    <row r="3" spans="2:30" ht="17.25">
      <c r="B3" s="393"/>
      <c r="C3" s="393"/>
      <c r="D3" s="393"/>
      <c r="E3" s="393"/>
      <c r="F3" s="393"/>
      <c r="G3" s="393"/>
      <c r="H3" s="394"/>
      <c r="I3" s="393"/>
      <c r="J3" s="394"/>
      <c r="K3" s="394"/>
      <c r="L3" s="394"/>
      <c r="M3" s="394"/>
      <c r="O3" s="395"/>
      <c r="P3" s="396"/>
      <c r="Q3" s="397"/>
      <c r="R3" s="394"/>
      <c r="S3" s="395"/>
      <c r="T3" s="396"/>
      <c r="U3" s="397"/>
      <c r="V3" s="268"/>
      <c r="W3" s="268"/>
      <c r="X3" s="268"/>
      <c r="Z3" s="396"/>
      <c r="AA3" s="396"/>
      <c r="AB3" s="397"/>
      <c r="AC3" s="397"/>
      <c r="AD3" s="398"/>
    </row>
    <row r="4" spans="2:30" ht="24">
      <c r="B4" s="1905" t="s">
        <v>2667</v>
      </c>
      <c r="C4" s="1905"/>
      <c r="D4" s="1905"/>
      <c r="E4" s="1905"/>
      <c r="F4" s="1905"/>
      <c r="G4" s="1905"/>
      <c r="H4" s="1905"/>
      <c r="I4" s="1905"/>
      <c r="J4" s="1905"/>
      <c r="K4" s="1905"/>
      <c r="L4" s="1905"/>
      <c r="M4" s="1905"/>
      <c r="N4" s="1905"/>
      <c r="O4" s="1905"/>
      <c r="P4" s="1905"/>
      <c r="Q4" s="1905"/>
      <c r="R4" s="1905"/>
      <c r="S4" s="1905"/>
      <c r="T4" s="1905"/>
      <c r="U4" s="1905"/>
      <c r="V4" s="1905"/>
      <c r="W4" s="1905"/>
      <c r="X4" s="1905"/>
      <c r="Y4" s="1905"/>
      <c r="Z4" s="1905"/>
      <c r="AA4" s="1905"/>
      <c r="AB4" s="1905"/>
      <c r="AC4" s="1905"/>
      <c r="AD4" s="1905"/>
    </row>
    <row r="5" spans="8:30" ht="15" thickBot="1">
      <c r="H5" s="391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1"/>
      <c r="U5" s="392"/>
      <c r="V5" s="392"/>
      <c r="W5" s="392"/>
      <c r="X5" s="392"/>
      <c r="Y5" s="392"/>
      <c r="Z5" s="392"/>
      <c r="AA5" s="392"/>
      <c r="AB5" s="392"/>
      <c r="AC5" s="392"/>
      <c r="AD5" s="399" t="s">
        <v>2597</v>
      </c>
    </row>
    <row r="6" spans="2:30" ht="30">
      <c r="B6" s="273"/>
      <c r="C6" s="274" t="s">
        <v>2598</v>
      </c>
      <c r="D6" s="1899" t="s">
        <v>2599</v>
      </c>
      <c r="E6" s="1900"/>
      <c r="F6" s="1900"/>
      <c r="G6" s="1901"/>
      <c r="H6" s="275" t="s">
        <v>2600</v>
      </c>
      <c r="I6" s="276" t="s">
        <v>2601</v>
      </c>
      <c r="J6" s="277" t="s">
        <v>2602</v>
      </c>
      <c r="K6" s="277" t="s">
        <v>2603</v>
      </c>
      <c r="L6" s="277" t="s">
        <v>2604</v>
      </c>
      <c r="M6" s="277" t="s">
        <v>2605</v>
      </c>
      <c r="N6" s="278" t="s">
        <v>2606</v>
      </c>
      <c r="O6" s="279" t="s">
        <v>2607</v>
      </c>
      <c r="P6" s="280" t="s">
        <v>2608</v>
      </c>
      <c r="Q6" s="281" t="s">
        <v>2609</v>
      </c>
      <c r="R6" s="277" t="s">
        <v>2610</v>
      </c>
      <c r="S6" s="277" t="s">
        <v>2611</v>
      </c>
      <c r="T6" s="282" t="s">
        <v>2612</v>
      </c>
      <c r="U6" s="277" t="s">
        <v>2613</v>
      </c>
      <c r="V6" s="283" t="s">
        <v>2614</v>
      </c>
      <c r="W6" s="1902" t="s">
        <v>2615</v>
      </c>
      <c r="X6" s="1903"/>
      <c r="Y6" s="284" t="s">
        <v>2616</v>
      </c>
      <c r="Z6" s="285" t="s">
        <v>2617</v>
      </c>
      <c r="AA6" s="286" t="s">
        <v>2617</v>
      </c>
      <c r="AB6" s="287" t="s">
        <v>2617</v>
      </c>
      <c r="AC6" s="288" t="s">
        <v>2618</v>
      </c>
      <c r="AD6" s="284" t="s">
        <v>2619</v>
      </c>
    </row>
    <row r="7" spans="2:30" ht="30" customHeight="1" thickBot="1">
      <c r="B7" s="400" t="s">
        <v>2668</v>
      </c>
      <c r="C7" s="401" t="s">
        <v>2620</v>
      </c>
      <c r="D7" s="291" t="s">
        <v>2621</v>
      </c>
      <c r="E7" s="292" t="s">
        <v>2622</v>
      </c>
      <c r="F7" s="292" t="s">
        <v>2623</v>
      </c>
      <c r="G7" s="292" t="s">
        <v>2624</v>
      </c>
      <c r="H7" s="402" t="s">
        <v>2625</v>
      </c>
      <c r="I7" s="403" t="s">
        <v>2625</v>
      </c>
      <c r="J7" s="404" t="s">
        <v>2626</v>
      </c>
      <c r="K7" s="404" t="s">
        <v>2627</v>
      </c>
      <c r="L7" s="404" t="s">
        <v>2628</v>
      </c>
      <c r="M7" s="404" t="s">
        <v>2629</v>
      </c>
      <c r="N7" s="303" t="s">
        <v>2630</v>
      </c>
      <c r="O7" s="404" t="s">
        <v>2631</v>
      </c>
      <c r="P7" s="405" t="s">
        <v>2632</v>
      </c>
      <c r="Q7" s="404" t="s">
        <v>2633</v>
      </c>
      <c r="R7" s="404" t="s">
        <v>2610</v>
      </c>
      <c r="S7" s="404" t="s">
        <v>2634</v>
      </c>
      <c r="T7" s="402" t="s">
        <v>2635</v>
      </c>
      <c r="U7" s="404" t="s">
        <v>2635</v>
      </c>
      <c r="V7" s="406" t="s">
        <v>2636</v>
      </c>
      <c r="W7" s="299" t="s">
        <v>2637</v>
      </c>
      <c r="X7" s="300" t="s">
        <v>2638</v>
      </c>
      <c r="Y7" s="407" t="s">
        <v>2639</v>
      </c>
      <c r="Z7" s="408" t="s">
        <v>2625</v>
      </c>
      <c r="AA7" s="303" t="s">
        <v>2620</v>
      </c>
      <c r="AB7" s="406" t="s">
        <v>2640</v>
      </c>
      <c r="AC7" s="409" t="s">
        <v>2640</v>
      </c>
      <c r="AD7" s="410"/>
    </row>
    <row r="8" spans="2:30" ht="24.75" customHeight="1">
      <c r="B8" s="411" t="s">
        <v>2669</v>
      </c>
      <c r="C8" s="319">
        <f>SUM(D8:G8)</f>
        <v>1716000</v>
      </c>
      <c r="D8" s="327"/>
      <c r="E8" s="327"/>
      <c r="F8" s="327">
        <v>956000</v>
      </c>
      <c r="G8" s="327">
        <v>760000</v>
      </c>
      <c r="H8" s="324">
        <v>14995000</v>
      </c>
      <c r="I8" s="327"/>
      <c r="J8" s="319"/>
      <c r="K8" s="319"/>
      <c r="L8" s="319"/>
      <c r="M8" s="319"/>
      <c r="N8" s="319">
        <v>383388</v>
      </c>
      <c r="O8" s="319">
        <v>317063</v>
      </c>
      <c r="P8" s="347">
        <f aca="true" t="shared" si="0" ref="P8:P21">C8+H8+J8+K8+L8+M8+N8+O8</f>
        <v>17411451</v>
      </c>
      <c r="Q8" s="319"/>
      <c r="R8" s="319"/>
      <c r="S8" s="319"/>
      <c r="T8" s="324">
        <v>7395.86</v>
      </c>
      <c r="U8" s="319"/>
      <c r="V8" s="319"/>
      <c r="W8" s="332"/>
      <c r="X8" s="328"/>
      <c r="Y8" s="347">
        <f aca="true" t="shared" si="1" ref="Y8:Y21">SUM(Q8:V8)</f>
        <v>7395.86</v>
      </c>
      <c r="Z8" s="347"/>
      <c r="AA8" s="347"/>
      <c r="AB8" s="347"/>
      <c r="AC8" s="347"/>
      <c r="AD8" s="347">
        <f aca="true" t="shared" si="2" ref="AD8:AD22">P8+Y8</f>
        <v>17418846.86</v>
      </c>
    </row>
    <row r="9" spans="2:30" ht="24.75" customHeight="1">
      <c r="B9" s="412" t="s">
        <v>2670</v>
      </c>
      <c r="C9" s="327">
        <f aca="true" t="shared" si="3" ref="C9:C21">SUM(D9:G9)</f>
        <v>252985.90000000002</v>
      </c>
      <c r="D9" s="329"/>
      <c r="E9" s="329"/>
      <c r="F9" s="329">
        <v>252328.45</v>
      </c>
      <c r="G9" s="329">
        <v>657.45</v>
      </c>
      <c r="H9" s="322">
        <v>86499.21</v>
      </c>
      <c r="I9" s="329"/>
      <c r="J9" s="333"/>
      <c r="K9" s="333"/>
      <c r="L9" s="333"/>
      <c r="M9" s="333"/>
      <c r="N9" s="333">
        <v>2233926</v>
      </c>
      <c r="O9" s="333">
        <v>506764</v>
      </c>
      <c r="P9" s="347">
        <f t="shared" si="0"/>
        <v>3080175.11</v>
      </c>
      <c r="Q9" s="333"/>
      <c r="R9" s="333"/>
      <c r="S9" s="333"/>
      <c r="T9" s="322">
        <v>14883244.9</v>
      </c>
      <c r="U9" s="333"/>
      <c r="V9" s="333"/>
      <c r="W9" s="339"/>
      <c r="X9" s="338"/>
      <c r="Y9" s="331">
        <f t="shared" si="1"/>
        <v>14883244.9</v>
      </c>
      <c r="Z9" s="331"/>
      <c r="AA9" s="331"/>
      <c r="AB9" s="331"/>
      <c r="AC9" s="331"/>
      <c r="AD9" s="331">
        <f t="shared" si="2"/>
        <v>17963420.01</v>
      </c>
    </row>
    <row r="10" spans="2:30" ht="24.75" customHeight="1">
      <c r="B10" s="412" t="s">
        <v>2671</v>
      </c>
      <c r="C10" s="327">
        <f t="shared" si="3"/>
        <v>356403</v>
      </c>
      <c r="D10" s="329"/>
      <c r="E10" s="329"/>
      <c r="F10" s="329">
        <v>318500</v>
      </c>
      <c r="G10" s="329">
        <v>37903</v>
      </c>
      <c r="H10" s="322"/>
      <c r="I10" s="329"/>
      <c r="J10" s="333"/>
      <c r="K10" s="333"/>
      <c r="L10" s="333"/>
      <c r="M10" s="333"/>
      <c r="N10" s="333">
        <v>2518580</v>
      </c>
      <c r="O10" s="333">
        <v>224130</v>
      </c>
      <c r="P10" s="347">
        <f t="shared" si="0"/>
        <v>3099113</v>
      </c>
      <c r="Q10" s="333">
        <v>540</v>
      </c>
      <c r="R10" s="333"/>
      <c r="S10" s="333"/>
      <c r="T10" s="322">
        <v>8668.7</v>
      </c>
      <c r="U10" s="333"/>
      <c r="V10" s="333"/>
      <c r="W10" s="339"/>
      <c r="X10" s="338"/>
      <c r="Y10" s="331">
        <f t="shared" si="1"/>
        <v>9208.7</v>
      </c>
      <c r="Z10" s="331"/>
      <c r="AA10" s="331"/>
      <c r="AB10" s="331"/>
      <c r="AC10" s="331"/>
      <c r="AD10" s="331">
        <f t="shared" si="2"/>
        <v>3108321.7</v>
      </c>
    </row>
    <row r="11" spans="2:30" ht="24.75" customHeight="1">
      <c r="B11" s="412" t="s">
        <v>2672</v>
      </c>
      <c r="C11" s="327">
        <f t="shared" si="3"/>
        <v>0</v>
      </c>
      <c r="D11" s="329"/>
      <c r="E11" s="329"/>
      <c r="F11" s="329"/>
      <c r="G11" s="329"/>
      <c r="H11" s="322">
        <v>158400</v>
      </c>
      <c r="I11" s="329"/>
      <c r="J11" s="333"/>
      <c r="K11" s="333"/>
      <c r="L11" s="333"/>
      <c r="M11" s="333"/>
      <c r="N11" s="333">
        <v>342778</v>
      </c>
      <c r="O11" s="333">
        <v>46456</v>
      </c>
      <c r="P11" s="347">
        <f t="shared" si="0"/>
        <v>547634</v>
      </c>
      <c r="Q11" s="333"/>
      <c r="R11" s="333"/>
      <c r="S11" s="333">
        <v>8046991.5</v>
      </c>
      <c r="T11" s="322">
        <v>10354.1</v>
      </c>
      <c r="U11" s="333"/>
      <c r="V11" s="333"/>
      <c r="W11" s="339"/>
      <c r="X11" s="338"/>
      <c r="Y11" s="331">
        <f t="shared" si="1"/>
        <v>8057345.6</v>
      </c>
      <c r="Z11" s="331"/>
      <c r="AA11" s="331"/>
      <c r="AB11" s="331"/>
      <c r="AC11" s="331"/>
      <c r="AD11" s="331">
        <f t="shared" si="2"/>
        <v>8604979.6</v>
      </c>
    </row>
    <row r="12" spans="2:30" ht="24.75" customHeight="1">
      <c r="B12" s="412" t="s">
        <v>2673</v>
      </c>
      <c r="C12" s="327">
        <f t="shared" si="3"/>
        <v>171555</v>
      </c>
      <c r="D12" s="329"/>
      <c r="E12" s="329"/>
      <c r="F12" s="329">
        <v>171555</v>
      </c>
      <c r="G12" s="329"/>
      <c r="H12" s="322">
        <v>46000</v>
      </c>
      <c r="I12" s="329"/>
      <c r="J12" s="333"/>
      <c r="K12" s="333"/>
      <c r="L12" s="333"/>
      <c r="M12" s="333"/>
      <c r="N12" s="333">
        <v>301216</v>
      </c>
      <c r="O12" s="333">
        <v>45801</v>
      </c>
      <c r="P12" s="347">
        <f t="shared" si="0"/>
        <v>564572</v>
      </c>
      <c r="Q12" s="333"/>
      <c r="R12" s="333"/>
      <c r="S12" s="333"/>
      <c r="T12" s="322">
        <v>4949898.53</v>
      </c>
      <c r="U12" s="333"/>
      <c r="V12" s="333"/>
      <c r="W12" s="339"/>
      <c r="X12" s="338"/>
      <c r="Y12" s="331">
        <f t="shared" si="1"/>
        <v>4949898.53</v>
      </c>
      <c r="Z12" s="331"/>
      <c r="AA12" s="331"/>
      <c r="AB12" s="331"/>
      <c r="AC12" s="331"/>
      <c r="AD12" s="331">
        <f t="shared" si="2"/>
        <v>5514470.53</v>
      </c>
    </row>
    <row r="13" spans="2:30" ht="24.75" customHeight="1">
      <c r="B13" s="412" t="s">
        <v>2674</v>
      </c>
      <c r="C13" s="327">
        <f t="shared" si="3"/>
        <v>389776.55</v>
      </c>
      <c r="D13" s="329"/>
      <c r="E13" s="329"/>
      <c r="F13" s="329">
        <v>319776.55</v>
      </c>
      <c r="G13" s="329">
        <v>70000</v>
      </c>
      <c r="H13" s="322">
        <v>995947.96</v>
      </c>
      <c r="I13" s="329"/>
      <c r="J13" s="333"/>
      <c r="K13" s="333"/>
      <c r="L13" s="333"/>
      <c r="M13" s="333"/>
      <c r="N13" s="333">
        <v>362778</v>
      </c>
      <c r="O13" s="333">
        <v>56306</v>
      </c>
      <c r="P13" s="347">
        <f t="shared" si="0"/>
        <v>1804808.51</v>
      </c>
      <c r="Q13" s="333">
        <v>893</v>
      </c>
      <c r="R13" s="333"/>
      <c r="S13" s="333">
        <v>397111.7</v>
      </c>
      <c r="T13" s="322">
        <v>12881966.02</v>
      </c>
      <c r="U13" s="333"/>
      <c r="V13" s="333"/>
      <c r="W13" s="339"/>
      <c r="X13" s="338"/>
      <c r="Y13" s="331">
        <f t="shared" si="1"/>
        <v>13279970.719999999</v>
      </c>
      <c r="Z13" s="331"/>
      <c r="AA13" s="331"/>
      <c r="AB13" s="331"/>
      <c r="AC13" s="331"/>
      <c r="AD13" s="331">
        <f t="shared" si="2"/>
        <v>15084779.229999999</v>
      </c>
    </row>
    <row r="14" spans="2:30" ht="24.75" customHeight="1">
      <c r="B14" s="412" t="s">
        <v>2675</v>
      </c>
      <c r="C14" s="327">
        <f t="shared" si="3"/>
        <v>24080</v>
      </c>
      <c r="D14" s="329"/>
      <c r="E14" s="329"/>
      <c r="F14" s="329">
        <v>24080</v>
      </c>
      <c r="G14" s="329"/>
      <c r="H14" s="322">
        <v>929962.5</v>
      </c>
      <c r="I14" s="329"/>
      <c r="J14" s="333"/>
      <c r="K14" s="333"/>
      <c r="L14" s="333"/>
      <c r="M14" s="333"/>
      <c r="N14" s="333">
        <v>199224</v>
      </c>
      <c r="O14" s="333">
        <v>1620</v>
      </c>
      <c r="P14" s="347">
        <f t="shared" si="0"/>
        <v>1154886.5</v>
      </c>
      <c r="Q14" s="333">
        <v>433</v>
      </c>
      <c r="R14" s="333"/>
      <c r="S14" s="333"/>
      <c r="T14" s="322">
        <v>2217256.3</v>
      </c>
      <c r="U14" s="333"/>
      <c r="V14" s="333"/>
      <c r="W14" s="339"/>
      <c r="X14" s="338"/>
      <c r="Y14" s="331">
        <f t="shared" si="1"/>
        <v>2217689.3</v>
      </c>
      <c r="Z14" s="331"/>
      <c r="AA14" s="331"/>
      <c r="AB14" s="331"/>
      <c r="AC14" s="331"/>
      <c r="AD14" s="331">
        <f t="shared" si="2"/>
        <v>3372575.8</v>
      </c>
    </row>
    <row r="15" spans="2:30" ht="24.75" customHeight="1">
      <c r="B15" s="412" t="s">
        <v>2676</v>
      </c>
      <c r="C15" s="327">
        <f t="shared" si="3"/>
        <v>130000</v>
      </c>
      <c r="D15" s="329"/>
      <c r="E15" s="329"/>
      <c r="F15" s="329">
        <v>130000</v>
      </c>
      <c r="G15" s="329"/>
      <c r="H15" s="322">
        <v>2689540.9</v>
      </c>
      <c r="I15" s="329"/>
      <c r="J15" s="333"/>
      <c r="K15" s="333"/>
      <c r="L15" s="333"/>
      <c r="M15" s="333"/>
      <c r="N15" s="333">
        <v>566091</v>
      </c>
      <c r="O15" s="333">
        <v>251272</v>
      </c>
      <c r="P15" s="347">
        <f t="shared" si="0"/>
        <v>3636903.9</v>
      </c>
      <c r="Q15" s="333"/>
      <c r="R15" s="333"/>
      <c r="S15" s="333"/>
      <c r="T15" s="322">
        <v>2951673.6</v>
      </c>
      <c r="U15" s="333"/>
      <c r="V15" s="333"/>
      <c r="W15" s="339"/>
      <c r="X15" s="338"/>
      <c r="Y15" s="331">
        <f t="shared" si="1"/>
        <v>2951673.6</v>
      </c>
      <c r="Z15" s="331"/>
      <c r="AA15" s="331"/>
      <c r="AB15" s="331"/>
      <c r="AC15" s="331"/>
      <c r="AD15" s="331">
        <f t="shared" si="2"/>
        <v>6588577.5</v>
      </c>
    </row>
    <row r="16" spans="2:30" ht="24.75" customHeight="1">
      <c r="B16" s="412" t="s">
        <v>2677</v>
      </c>
      <c r="C16" s="327">
        <f t="shared" si="3"/>
        <v>58800</v>
      </c>
      <c r="D16" s="329"/>
      <c r="E16" s="329"/>
      <c r="F16" s="329">
        <v>49736</v>
      </c>
      <c r="G16" s="329">
        <v>9064</v>
      </c>
      <c r="H16" s="322">
        <v>275000</v>
      </c>
      <c r="I16" s="329"/>
      <c r="J16" s="333"/>
      <c r="K16" s="333"/>
      <c r="L16" s="333"/>
      <c r="M16" s="333"/>
      <c r="N16" s="333">
        <v>361936</v>
      </c>
      <c r="O16" s="333">
        <v>13261</v>
      </c>
      <c r="P16" s="347">
        <f t="shared" si="0"/>
        <v>708997</v>
      </c>
      <c r="Q16" s="333"/>
      <c r="R16" s="333"/>
      <c r="S16" s="333"/>
      <c r="T16" s="322">
        <v>53976</v>
      </c>
      <c r="U16" s="333"/>
      <c r="V16" s="333"/>
      <c r="W16" s="339"/>
      <c r="X16" s="338"/>
      <c r="Y16" s="331">
        <f t="shared" si="1"/>
        <v>53976</v>
      </c>
      <c r="Z16" s="331"/>
      <c r="AA16" s="331"/>
      <c r="AB16" s="331"/>
      <c r="AC16" s="331"/>
      <c r="AD16" s="331">
        <f t="shared" si="2"/>
        <v>762973</v>
      </c>
    </row>
    <row r="17" spans="2:30" ht="24.75" customHeight="1">
      <c r="B17" s="412" t="s">
        <v>2678</v>
      </c>
      <c r="C17" s="327">
        <f t="shared" si="3"/>
        <v>66476</v>
      </c>
      <c r="D17" s="329"/>
      <c r="E17" s="329"/>
      <c r="F17" s="329">
        <v>35502</v>
      </c>
      <c r="G17" s="329">
        <v>30974</v>
      </c>
      <c r="H17" s="322">
        <v>2018000</v>
      </c>
      <c r="I17" s="329"/>
      <c r="J17" s="333"/>
      <c r="K17" s="333"/>
      <c r="L17" s="333"/>
      <c r="M17" s="333"/>
      <c r="N17" s="333">
        <v>148055</v>
      </c>
      <c r="O17" s="333">
        <v>22544</v>
      </c>
      <c r="P17" s="347">
        <f t="shared" si="0"/>
        <v>2255075</v>
      </c>
      <c r="Q17" s="333"/>
      <c r="R17" s="333"/>
      <c r="S17" s="333"/>
      <c r="T17" s="322">
        <v>12553000</v>
      </c>
      <c r="U17" s="333"/>
      <c r="V17" s="333"/>
      <c r="W17" s="339"/>
      <c r="X17" s="338"/>
      <c r="Y17" s="331">
        <f t="shared" si="1"/>
        <v>12553000</v>
      </c>
      <c r="Z17" s="331"/>
      <c r="AA17" s="331"/>
      <c r="AB17" s="331"/>
      <c r="AC17" s="331"/>
      <c r="AD17" s="331">
        <f t="shared" si="2"/>
        <v>14808075</v>
      </c>
    </row>
    <row r="18" spans="2:30" ht="24" customHeight="1">
      <c r="B18" s="412" t="s">
        <v>2679</v>
      </c>
      <c r="C18" s="327">
        <f t="shared" si="3"/>
        <v>460546</v>
      </c>
      <c r="D18" s="329"/>
      <c r="E18" s="329"/>
      <c r="F18" s="329">
        <v>371526</v>
      </c>
      <c r="G18" s="329">
        <v>89020</v>
      </c>
      <c r="H18" s="322">
        <f>920</f>
        <v>920</v>
      </c>
      <c r="I18" s="329"/>
      <c r="J18" s="333"/>
      <c r="K18" s="333"/>
      <c r="L18" s="333"/>
      <c r="M18" s="333"/>
      <c r="N18" s="333">
        <v>2249836</v>
      </c>
      <c r="O18" s="333">
        <v>507730</v>
      </c>
      <c r="P18" s="347">
        <f t="shared" si="0"/>
        <v>3219032</v>
      </c>
      <c r="Q18" s="333"/>
      <c r="R18" s="333"/>
      <c r="S18" s="333"/>
      <c r="T18" s="322">
        <v>306698.3</v>
      </c>
      <c r="U18" s="333"/>
      <c r="V18" s="333"/>
      <c r="W18" s="339"/>
      <c r="X18" s="338"/>
      <c r="Y18" s="331">
        <f t="shared" si="1"/>
        <v>306698.3</v>
      </c>
      <c r="Z18" s="331"/>
      <c r="AA18" s="331"/>
      <c r="AB18" s="331"/>
      <c r="AC18" s="331"/>
      <c r="AD18" s="331">
        <f t="shared" si="2"/>
        <v>3525730.3</v>
      </c>
    </row>
    <row r="19" spans="2:30" ht="24.75" customHeight="1">
      <c r="B19" s="412" t="s">
        <v>2680</v>
      </c>
      <c r="C19" s="327">
        <f t="shared" si="3"/>
        <v>39376</v>
      </c>
      <c r="D19" s="329"/>
      <c r="E19" s="329"/>
      <c r="F19" s="329">
        <v>6104</v>
      </c>
      <c r="G19" s="329">
        <v>33272</v>
      </c>
      <c r="H19" s="322">
        <v>4541</v>
      </c>
      <c r="I19" s="329"/>
      <c r="J19" s="333"/>
      <c r="K19" s="333"/>
      <c r="L19" s="333"/>
      <c r="M19" s="333"/>
      <c r="N19" s="333">
        <v>216787</v>
      </c>
      <c r="O19" s="333">
        <v>169141</v>
      </c>
      <c r="P19" s="347">
        <f t="shared" si="0"/>
        <v>429845</v>
      </c>
      <c r="Q19" s="333">
        <v>610</v>
      </c>
      <c r="R19" s="333"/>
      <c r="S19" s="333"/>
      <c r="T19" s="322">
        <v>4194</v>
      </c>
      <c r="U19" s="333"/>
      <c r="V19" s="333"/>
      <c r="W19" s="339"/>
      <c r="X19" s="338"/>
      <c r="Y19" s="331">
        <f t="shared" si="1"/>
        <v>4804</v>
      </c>
      <c r="Z19" s="331"/>
      <c r="AA19" s="331"/>
      <c r="AB19" s="331"/>
      <c r="AC19" s="331"/>
      <c r="AD19" s="331">
        <f t="shared" si="2"/>
        <v>434649</v>
      </c>
    </row>
    <row r="20" spans="2:30" ht="24.75" customHeight="1">
      <c r="B20" s="412" t="s">
        <v>2681</v>
      </c>
      <c r="C20" s="327">
        <f t="shared" si="3"/>
        <v>180503</v>
      </c>
      <c r="D20" s="329"/>
      <c r="E20" s="329"/>
      <c r="F20" s="329">
        <v>80482</v>
      </c>
      <c r="G20" s="329">
        <v>100021</v>
      </c>
      <c r="H20" s="322">
        <f>2580+2826000</f>
        <v>2828580</v>
      </c>
      <c r="I20" s="329"/>
      <c r="J20" s="333"/>
      <c r="K20" s="333"/>
      <c r="L20" s="333"/>
      <c r="M20" s="333"/>
      <c r="N20" s="333">
        <v>493724</v>
      </c>
      <c r="O20" s="333">
        <v>187076</v>
      </c>
      <c r="P20" s="347">
        <f t="shared" si="0"/>
        <v>3689883</v>
      </c>
      <c r="Q20" s="333"/>
      <c r="R20" s="333"/>
      <c r="S20" s="333"/>
      <c r="T20" s="322">
        <v>2507668.85</v>
      </c>
      <c r="U20" s="333"/>
      <c r="V20" s="333"/>
      <c r="W20" s="339"/>
      <c r="X20" s="338"/>
      <c r="Y20" s="331">
        <f t="shared" si="1"/>
        <v>2507668.85</v>
      </c>
      <c r="Z20" s="331"/>
      <c r="AA20" s="331"/>
      <c r="AB20" s="331"/>
      <c r="AC20" s="331"/>
      <c r="AD20" s="331">
        <f t="shared" si="2"/>
        <v>6197551.85</v>
      </c>
    </row>
    <row r="21" spans="2:30" ht="24.75" customHeight="1">
      <c r="B21" s="412" t="s">
        <v>2682</v>
      </c>
      <c r="C21" s="327">
        <f t="shared" si="3"/>
        <v>1136530</v>
      </c>
      <c r="D21" s="329"/>
      <c r="E21" s="329"/>
      <c r="F21" s="329">
        <v>408981</v>
      </c>
      <c r="G21" s="329">
        <v>727549</v>
      </c>
      <c r="H21" s="322"/>
      <c r="I21" s="329"/>
      <c r="J21" s="333"/>
      <c r="K21" s="333"/>
      <c r="L21" s="333"/>
      <c r="M21" s="333"/>
      <c r="N21" s="333">
        <v>546880</v>
      </c>
      <c r="O21" s="333">
        <v>105202</v>
      </c>
      <c r="P21" s="347">
        <f t="shared" si="0"/>
        <v>1788612</v>
      </c>
      <c r="Q21" s="333"/>
      <c r="R21" s="333"/>
      <c r="S21" s="333"/>
      <c r="T21" s="322">
        <v>3420402.7</v>
      </c>
      <c r="U21" s="333"/>
      <c r="V21" s="333"/>
      <c r="W21" s="339"/>
      <c r="X21" s="338"/>
      <c r="Y21" s="331">
        <f t="shared" si="1"/>
        <v>3420402.7</v>
      </c>
      <c r="Z21" s="331"/>
      <c r="AA21" s="331"/>
      <c r="AB21" s="331"/>
      <c r="AC21" s="331"/>
      <c r="AD21" s="331">
        <f t="shared" si="2"/>
        <v>5209014.7</v>
      </c>
    </row>
    <row r="22" spans="2:30" ht="24.75" customHeight="1" thickBot="1">
      <c r="B22" s="413" t="s">
        <v>2668</v>
      </c>
      <c r="C22" s="382">
        <f aca="true" t="shared" si="4" ref="C22:Y22">SUM(C8:C21)</f>
        <v>4983031.449999999</v>
      </c>
      <c r="D22" s="382">
        <f>SUM(D8:D21)</f>
        <v>0</v>
      </c>
      <c r="E22" s="382">
        <f>SUM(E8:E21)</f>
        <v>0</v>
      </c>
      <c r="F22" s="382">
        <f>SUM(F8:F21)</f>
        <v>3124571</v>
      </c>
      <c r="G22" s="382">
        <f>SUM(G8:G21)</f>
        <v>1858460.45</v>
      </c>
      <c r="H22" s="382">
        <f t="shared" si="4"/>
        <v>25028391.57</v>
      </c>
      <c r="I22" s="382">
        <f t="shared" si="4"/>
        <v>0</v>
      </c>
      <c r="J22" s="382">
        <f t="shared" si="4"/>
        <v>0</v>
      </c>
      <c r="K22" s="382">
        <f>SUM(K8:K21)</f>
        <v>0</v>
      </c>
      <c r="L22" s="382">
        <f>SUM(L8:L21)</f>
        <v>0</v>
      </c>
      <c r="M22" s="383">
        <f t="shared" si="4"/>
        <v>0</v>
      </c>
      <c r="N22" s="383">
        <f t="shared" si="4"/>
        <v>10925199</v>
      </c>
      <c r="O22" s="384">
        <f t="shared" si="4"/>
        <v>2454366</v>
      </c>
      <c r="P22" s="385">
        <f t="shared" si="4"/>
        <v>43390988.019999996</v>
      </c>
      <c r="Q22" s="386">
        <f t="shared" si="4"/>
        <v>2476</v>
      </c>
      <c r="R22" s="383">
        <f t="shared" si="4"/>
        <v>0</v>
      </c>
      <c r="S22" s="383">
        <f t="shared" si="4"/>
        <v>8444103.2</v>
      </c>
      <c r="T22" s="382">
        <f t="shared" si="4"/>
        <v>56756397.86</v>
      </c>
      <c r="U22" s="383">
        <f t="shared" si="4"/>
        <v>0</v>
      </c>
      <c r="V22" s="383">
        <f t="shared" si="4"/>
        <v>0</v>
      </c>
      <c r="W22" s="384">
        <f>SUM(W8:W21)</f>
        <v>0</v>
      </c>
      <c r="X22" s="387">
        <f>SUM(X8:X21)</f>
        <v>0</v>
      </c>
      <c r="Y22" s="414">
        <f t="shared" si="4"/>
        <v>65202977.06</v>
      </c>
      <c r="Z22" s="414">
        <f>SUM(Z8:Z21)</f>
        <v>0</v>
      </c>
      <c r="AA22" s="414"/>
      <c r="AB22" s="414">
        <f>SUM(AB8:AB21)</f>
        <v>0</v>
      </c>
      <c r="AC22" s="414">
        <f>SUM(AC8:AC21)</f>
        <v>0</v>
      </c>
      <c r="AD22" s="385">
        <f t="shared" si="2"/>
        <v>108593965.08</v>
      </c>
    </row>
    <row r="24" spans="2:30" ht="23.25" customHeight="1">
      <c r="B24" s="393"/>
      <c r="C24" s="393"/>
      <c r="D24" s="393"/>
      <c r="E24" s="393"/>
      <c r="F24" s="393"/>
      <c r="G24" s="393"/>
      <c r="H24" s="394"/>
      <c r="I24" s="393"/>
      <c r="J24" s="394"/>
      <c r="K24" s="394"/>
      <c r="L24" s="394"/>
      <c r="M24" s="394"/>
      <c r="N24" s="392"/>
      <c r="O24" s="395"/>
      <c r="P24" s="396"/>
      <c r="Q24" s="397"/>
      <c r="R24" s="394"/>
      <c r="S24" s="395"/>
      <c r="T24" s="396"/>
      <c r="U24" s="397">
        <f>S22+T22+U22+V22</f>
        <v>65200501.06</v>
      </c>
      <c r="V24" s="268" t="s">
        <v>2683</v>
      </c>
      <c r="W24" s="268"/>
      <c r="X24" s="268"/>
      <c r="Y24" s="392"/>
      <c r="Z24" s="396" t="s">
        <v>2684</v>
      </c>
      <c r="AA24" s="396"/>
      <c r="AB24" s="397">
        <f>Z22+AB22</f>
        <v>0</v>
      </c>
      <c r="AC24" s="397" t="s">
        <v>2683</v>
      </c>
      <c r="AD24" s="398"/>
    </row>
    <row r="25" spans="2:30" ht="17.25">
      <c r="B25" s="1341" t="s">
        <v>3746</v>
      </c>
      <c r="T25" s="1486" t="s">
        <v>3602</v>
      </c>
      <c r="AD25" s="1487" t="s">
        <v>3510</v>
      </c>
    </row>
  </sheetData>
  <mergeCells count="3">
    <mergeCell ref="D6:G6"/>
    <mergeCell ref="W6:X6"/>
    <mergeCell ref="B4:AD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Footer>&amp;C&amp;14&amp;P+134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1"/>
  <sheetViews>
    <sheetView workbookViewId="0" topLeftCell="E1">
      <selection activeCell="K6" sqref="K6:K7"/>
    </sheetView>
  </sheetViews>
  <sheetFormatPr defaultColWidth="9.00390625" defaultRowHeight="12.75"/>
  <cols>
    <col min="1" max="1" width="12.375" style="1055" customWidth="1"/>
    <col min="2" max="2" width="15.50390625" style="1055" customWidth="1"/>
    <col min="3" max="3" width="29.625" style="1055" customWidth="1"/>
    <col min="4" max="4" width="13.625" style="1055" customWidth="1"/>
    <col min="5" max="5" width="14.00390625" style="1055" customWidth="1"/>
    <col min="6" max="6" width="15.50390625" style="1055" customWidth="1"/>
    <col min="7" max="7" width="14.375" style="1055" customWidth="1"/>
    <col min="8" max="8" width="15.00390625" style="1055" customWidth="1"/>
    <col min="9" max="10" width="15.375" style="1055" customWidth="1"/>
    <col min="11" max="11" width="15.00390625" style="1055" customWidth="1"/>
    <col min="12" max="13" width="15.125" style="1055" customWidth="1"/>
    <col min="14" max="14" width="15.50390625" style="1072" customWidth="1"/>
    <col min="15" max="15" width="14.375" style="1055" customWidth="1"/>
    <col min="16" max="16" width="15.00390625" style="1055" customWidth="1"/>
    <col min="17" max="17" width="11.50390625" style="1055" customWidth="1"/>
    <col min="18" max="19" width="8.875" style="1055" customWidth="1"/>
    <col min="20" max="16384" width="9.125" style="1055" customWidth="1"/>
  </cols>
  <sheetData>
    <row r="1" spans="2:19" ht="17.25">
      <c r="B1" s="1054"/>
      <c r="E1" s="1056"/>
      <c r="F1" s="1057"/>
      <c r="G1" s="1057"/>
      <c r="H1" s="1056"/>
      <c r="I1" s="1056"/>
      <c r="J1" s="1056"/>
      <c r="K1" s="1056"/>
      <c r="L1" s="1056"/>
      <c r="M1" s="1056"/>
      <c r="N1" s="1056"/>
      <c r="O1" s="1058"/>
      <c r="P1" s="1058"/>
      <c r="Q1" s="1058"/>
      <c r="R1" s="1059"/>
      <c r="S1" s="1060"/>
    </row>
    <row r="2" spans="1:19" ht="19.5" customHeight="1">
      <c r="A2" s="1633" t="s">
        <v>3716</v>
      </c>
      <c r="B2" s="1634"/>
      <c r="C2" s="1634"/>
      <c r="D2" s="1634"/>
      <c r="E2" s="1635"/>
      <c r="F2" s="1635"/>
      <c r="G2" s="1635"/>
      <c r="H2" s="1635"/>
      <c r="I2" s="1635"/>
      <c r="J2" s="1635"/>
      <c r="K2" s="1635"/>
      <c r="L2" s="1635"/>
      <c r="M2" s="1635"/>
      <c r="N2" s="1635"/>
      <c r="O2" s="1636"/>
      <c r="P2" s="1636"/>
      <c r="Q2" s="1636"/>
      <c r="R2" s="1908"/>
      <c r="S2" s="1908"/>
    </row>
    <row r="3" spans="1:19" ht="24">
      <c r="A3" s="1921" t="s">
        <v>3717</v>
      </c>
      <c r="B3" s="1921"/>
      <c r="C3" s="1921"/>
      <c r="D3" s="1921"/>
      <c r="E3" s="1921"/>
      <c r="F3" s="1921"/>
      <c r="G3" s="1921"/>
      <c r="H3" s="1921"/>
      <c r="I3" s="1921"/>
      <c r="J3" s="1921"/>
      <c r="K3" s="1921"/>
      <c r="L3" s="1921"/>
      <c r="M3" s="1921"/>
      <c r="N3" s="1921"/>
      <c r="O3" s="1921"/>
      <c r="P3" s="1921"/>
      <c r="Q3" s="1921"/>
      <c r="R3" s="1921"/>
      <c r="S3" s="1921"/>
    </row>
    <row r="4" spans="1:19" ht="25.5" thickBot="1">
      <c r="A4" s="1641"/>
      <c r="B4" s="1642"/>
      <c r="C4" s="1642"/>
      <c r="D4" s="1642"/>
      <c r="E4" s="1641"/>
      <c r="F4" s="1643"/>
      <c r="G4" s="1641"/>
      <c r="H4" s="1643"/>
      <c r="I4" s="1907" t="s">
        <v>3330</v>
      </c>
      <c r="J4" s="1907"/>
      <c r="K4" s="1641"/>
      <c r="L4" s="1641"/>
      <c r="M4" s="1644"/>
      <c r="N4" s="1645"/>
      <c r="O4" s="1641"/>
      <c r="P4" s="1641"/>
      <c r="Q4" s="1641"/>
      <c r="R4" s="1637"/>
      <c r="S4" s="1638" t="s">
        <v>3331</v>
      </c>
    </row>
    <row r="5" spans="1:19" ht="15.75" thickBot="1">
      <c r="A5" s="1929" t="s">
        <v>3332</v>
      </c>
      <c r="B5" s="1909" t="s">
        <v>3333</v>
      </c>
      <c r="C5" s="1912" t="s">
        <v>3334</v>
      </c>
      <c r="D5" s="1488"/>
      <c r="E5" s="1915" t="s">
        <v>3335</v>
      </c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6"/>
      <c r="R5" s="1923" t="s">
        <v>3336</v>
      </c>
      <c r="S5" s="1924"/>
    </row>
    <row r="6" spans="1:19" ht="45.75" customHeight="1" thickBot="1">
      <c r="A6" s="1925"/>
      <c r="B6" s="1910"/>
      <c r="C6" s="1913"/>
      <c r="D6" s="1925" t="s">
        <v>3723</v>
      </c>
      <c r="E6" s="1927" t="s">
        <v>3337</v>
      </c>
      <c r="F6" s="1919" t="s">
        <v>3338</v>
      </c>
      <c r="G6" s="1919" t="s">
        <v>3339</v>
      </c>
      <c r="H6" s="1919" t="s">
        <v>3156</v>
      </c>
      <c r="I6" s="1919" t="s">
        <v>3340</v>
      </c>
      <c r="J6" s="1919" t="s">
        <v>3341</v>
      </c>
      <c r="K6" s="1919" t="s">
        <v>3342</v>
      </c>
      <c r="L6" s="1917" t="s">
        <v>3343</v>
      </c>
      <c r="M6" s="1918"/>
      <c r="N6" s="1917" t="s">
        <v>3344</v>
      </c>
      <c r="O6" s="1918"/>
      <c r="P6" s="1919" t="s">
        <v>3345</v>
      </c>
      <c r="Q6" s="1919" t="s">
        <v>3724</v>
      </c>
      <c r="R6" s="1922" t="s">
        <v>3347</v>
      </c>
      <c r="S6" s="1922" t="s">
        <v>3345</v>
      </c>
    </row>
    <row r="7" spans="1:19" ht="63" customHeight="1" thickBot="1">
      <c r="A7" s="1930"/>
      <c r="B7" s="1911"/>
      <c r="C7" s="1914"/>
      <c r="D7" s="1926"/>
      <c r="E7" s="1928"/>
      <c r="F7" s="1920"/>
      <c r="G7" s="1920"/>
      <c r="H7" s="1920"/>
      <c r="I7" s="1920"/>
      <c r="J7" s="1920"/>
      <c r="K7" s="1920"/>
      <c r="L7" s="1499" t="s">
        <v>2749</v>
      </c>
      <c r="M7" s="1500" t="s">
        <v>2750</v>
      </c>
      <c r="N7" s="1500" t="s">
        <v>2751</v>
      </c>
      <c r="O7" s="1501" t="s">
        <v>3159</v>
      </c>
      <c r="P7" s="1920"/>
      <c r="Q7" s="1920"/>
      <c r="R7" s="1920"/>
      <c r="S7" s="1920"/>
    </row>
    <row r="8" spans="1:19" ht="19.5" customHeight="1" thickBot="1">
      <c r="A8" s="1502" t="s">
        <v>3305</v>
      </c>
      <c r="B8" s="1503" t="s">
        <v>3306</v>
      </c>
      <c r="C8" s="1504" t="s">
        <v>3348</v>
      </c>
      <c r="D8" s="1502" t="s">
        <v>3349</v>
      </c>
      <c r="E8" s="1503">
        <v>1</v>
      </c>
      <c r="F8" s="1505">
        <v>2</v>
      </c>
      <c r="G8" s="1502">
        <v>3</v>
      </c>
      <c r="H8" s="1505">
        <v>4</v>
      </c>
      <c r="I8" s="1506">
        <v>5</v>
      </c>
      <c r="J8" s="1505">
        <v>6</v>
      </c>
      <c r="K8" s="1502">
        <v>7</v>
      </c>
      <c r="L8" s="1505">
        <v>8</v>
      </c>
      <c r="M8" s="1504">
        <v>9</v>
      </c>
      <c r="N8" s="1504">
        <v>10</v>
      </c>
      <c r="O8" s="1502">
        <v>11</v>
      </c>
      <c r="P8" s="1502">
        <v>12</v>
      </c>
      <c r="Q8" s="1505">
        <v>13</v>
      </c>
      <c r="R8" s="1502">
        <v>14</v>
      </c>
      <c r="S8" s="1502">
        <v>15</v>
      </c>
    </row>
    <row r="9" spans="1:19" ht="19.5" customHeight="1">
      <c r="A9" s="1507">
        <v>214010</v>
      </c>
      <c r="B9" s="1508" t="s">
        <v>3350</v>
      </c>
      <c r="C9" s="1509"/>
      <c r="D9" s="1510" t="s">
        <v>3351</v>
      </c>
      <c r="E9" s="1511">
        <v>490000</v>
      </c>
      <c r="F9" s="1514">
        <v>490000</v>
      </c>
      <c r="G9" s="1513">
        <v>0</v>
      </c>
      <c r="H9" s="1514">
        <f>SUM(F9+G9)</f>
        <v>490000</v>
      </c>
      <c r="I9" s="1511">
        <v>334648</v>
      </c>
      <c r="J9" s="1511">
        <v>155352</v>
      </c>
      <c r="K9" s="1512">
        <f aca="true" t="shared" si="0" ref="K9:K40">SUM(I9+J9)</f>
        <v>490000</v>
      </c>
      <c r="L9" s="1512">
        <f aca="true" t="shared" si="1" ref="L9:L56">SUM(I9-F9)</f>
        <v>-155352</v>
      </c>
      <c r="M9" s="1515">
        <f aca="true" t="shared" si="2" ref="M9:M56">SUM(K9-F9)</f>
        <v>0</v>
      </c>
      <c r="N9" s="1516">
        <f aca="true" t="shared" si="3" ref="N9:N55">SUM(I9-H9)</f>
        <v>-155352</v>
      </c>
      <c r="O9" s="1512">
        <f aca="true" t="shared" si="4" ref="O9:O72">SUM(K9-H9)</f>
        <v>0</v>
      </c>
      <c r="P9" s="1512">
        <v>0</v>
      </c>
      <c r="Q9" s="1512">
        <v>0</v>
      </c>
      <c r="R9" s="1517"/>
      <c r="S9" s="1517"/>
    </row>
    <row r="10" spans="1:19" ht="19.5" customHeight="1">
      <c r="A10" s="1622"/>
      <c r="B10" s="1518"/>
      <c r="C10" s="1519" t="s">
        <v>3352</v>
      </c>
      <c r="D10" s="1520"/>
      <c r="E10" s="1521">
        <v>440000</v>
      </c>
      <c r="F10" s="1521">
        <v>155000</v>
      </c>
      <c r="G10" s="1522">
        <v>0</v>
      </c>
      <c r="H10" s="1523">
        <v>155000</v>
      </c>
      <c r="I10" s="1521">
        <v>0</v>
      </c>
      <c r="J10" s="1522">
        <v>155000</v>
      </c>
      <c r="K10" s="1524">
        <f t="shared" si="0"/>
        <v>155000</v>
      </c>
      <c r="L10" s="1525">
        <f t="shared" si="1"/>
        <v>-155000</v>
      </c>
      <c r="M10" s="1526">
        <f t="shared" si="2"/>
        <v>0</v>
      </c>
      <c r="N10" s="1525">
        <f t="shared" si="3"/>
        <v>-155000</v>
      </c>
      <c r="O10" s="1527">
        <f t="shared" si="4"/>
        <v>0</v>
      </c>
      <c r="P10" s="1527">
        <v>0</v>
      </c>
      <c r="Q10" s="1525">
        <v>0</v>
      </c>
      <c r="R10" s="1528"/>
      <c r="S10" s="1529"/>
    </row>
    <row r="11" spans="1:19" ht="19.5" customHeight="1">
      <c r="A11" s="1552"/>
      <c r="B11" s="1518"/>
      <c r="C11" s="1531" t="s">
        <v>3353</v>
      </c>
      <c r="D11" s="1532"/>
      <c r="E11" s="1533">
        <v>50000</v>
      </c>
      <c r="F11" s="1533">
        <v>335000</v>
      </c>
      <c r="G11" s="1534">
        <v>0</v>
      </c>
      <c r="H11" s="1525">
        <v>335000</v>
      </c>
      <c r="I11" s="1533">
        <v>334648</v>
      </c>
      <c r="J11" s="1534">
        <v>352</v>
      </c>
      <c r="K11" s="1524">
        <f t="shared" si="0"/>
        <v>335000</v>
      </c>
      <c r="L11" s="1523">
        <f t="shared" si="1"/>
        <v>-352</v>
      </c>
      <c r="M11" s="1535">
        <f t="shared" si="2"/>
        <v>0</v>
      </c>
      <c r="N11" s="1523">
        <f t="shared" si="3"/>
        <v>-352</v>
      </c>
      <c r="O11" s="1536">
        <f t="shared" si="4"/>
        <v>0</v>
      </c>
      <c r="P11" s="1536">
        <v>0</v>
      </c>
      <c r="Q11" s="1523">
        <v>0</v>
      </c>
      <c r="R11" s="1538"/>
      <c r="S11" s="1539"/>
    </row>
    <row r="12" spans="1:19" ht="19.5" customHeight="1" thickBot="1">
      <c r="A12" s="1530"/>
      <c r="B12" s="1540"/>
      <c r="C12" s="1541" t="s">
        <v>2600</v>
      </c>
      <c r="D12" s="1542"/>
      <c r="E12" s="1543">
        <v>0</v>
      </c>
      <c r="F12" s="1543">
        <v>0</v>
      </c>
      <c r="G12" s="1543">
        <v>0</v>
      </c>
      <c r="H12" s="1543">
        <f aca="true" t="shared" si="5" ref="H12:H17">SUM(F12+G12)</f>
        <v>0</v>
      </c>
      <c r="I12" s="1543">
        <v>0</v>
      </c>
      <c r="J12" s="1543">
        <v>0</v>
      </c>
      <c r="K12" s="1522">
        <f t="shared" si="0"/>
        <v>0</v>
      </c>
      <c r="L12" s="1544">
        <f t="shared" si="1"/>
        <v>0</v>
      </c>
      <c r="M12" s="1522">
        <f t="shared" si="2"/>
        <v>0</v>
      </c>
      <c r="N12" s="1544">
        <f t="shared" si="3"/>
        <v>0</v>
      </c>
      <c r="O12" s="1521">
        <f t="shared" si="4"/>
        <v>0</v>
      </c>
      <c r="P12" s="1533">
        <v>0</v>
      </c>
      <c r="Q12" s="1566">
        <v>0</v>
      </c>
      <c r="R12" s="1588"/>
      <c r="S12" s="1545"/>
    </row>
    <row r="13" spans="1:19" ht="19.5" customHeight="1">
      <c r="A13" s="1546">
        <v>214110</v>
      </c>
      <c r="B13" s="1547" t="s">
        <v>3354</v>
      </c>
      <c r="C13" s="1509"/>
      <c r="D13" s="1510" t="s">
        <v>3355</v>
      </c>
      <c r="E13" s="1513">
        <v>0</v>
      </c>
      <c r="F13" s="1516">
        <v>382000</v>
      </c>
      <c r="G13" s="1513">
        <v>0</v>
      </c>
      <c r="H13" s="1514">
        <f t="shared" si="5"/>
        <v>382000</v>
      </c>
      <c r="I13" s="1513">
        <v>357490</v>
      </c>
      <c r="J13" s="1514">
        <v>24510</v>
      </c>
      <c r="K13" s="1515">
        <f t="shared" si="0"/>
        <v>382000</v>
      </c>
      <c r="L13" s="1516">
        <f t="shared" si="1"/>
        <v>-24510</v>
      </c>
      <c r="M13" s="1515">
        <f t="shared" si="2"/>
        <v>0</v>
      </c>
      <c r="N13" s="1516">
        <f t="shared" si="3"/>
        <v>-24510</v>
      </c>
      <c r="O13" s="1516">
        <f t="shared" si="4"/>
        <v>0</v>
      </c>
      <c r="P13" s="1511">
        <v>6921614</v>
      </c>
      <c r="Q13" s="1514">
        <f>SUM(I13/P13)*100</f>
        <v>5.164835831642735</v>
      </c>
      <c r="R13" s="1517"/>
      <c r="S13" s="1517"/>
    </row>
    <row r="14" spans="1:19" ht="19.5" customHeight="1">
      <c r="A14" s="1548"/>
      <c r="B14" s="1549"/>
      <c r="C14" s="1519" t="s">
        <v>3352</v>
      </c>
      <c r="D14" s="1520"/>
      <c r="E14" s="1523">
        <v>0</v>
      </c>
      <c r="F14" s="1523">
        <v>254000</v>
      </c>
      <c r="G14" s="1522">
        <v>0</v>
      </c>
      <c r="H14" s="1523">
        <f t="shared" si="5"/>
        <v>254000</v>
      </c>
      <c r="I14" s="1535">
        <v>253803</v>
      </c>
      <c r="J14" s="1524">
        <v>197</v>
      </c>
      <c r="K14" s="1551">
        <f t="shared" si="0"/>
        <v>254000</v>
      </c>
      <c r="L14" s="1525">
        <f t="shared" si="1"/>
        <v>-197</v>
      </c>
      <c r="M14" s="1526">
        <f t="shared" si="2"/>
        <v>0</v>
      </c>
      <c r="N14" s="1525">
        <f t="shared" si="3"/>
        <v>-197</v>
      </c>
      <c r="O14" s="1525">
        <f t="shared" si="4"/>
        <v>0</v>
      </c>
      <c r="P14" s="1521">
        <v>6921614</v>
      </c>
      <c r="Q14" s="1521">
        <f>SUM(I14/P14)*100</f>
        <v>3.6668181727556606</v>
      </c>
      <c r="R14" s="1529"/>
      <c r="S14" s="1529"/>
    </row>
    <row r="15" spans="1:19" ht="19.5" customHeight="1">
      <c r="A15" s="1552"/>
      <c r="B15" s="1549"/>
      <c r="C15" s="1531" t="s">
        <v>3353</v>
      </c>
      <c r="D15" s="1520"/>
      <c r="E15" s="1544">
        <v>0</v>
      </c>
      <c r="F15" s="1536">
        <v>128000</v>
      </c>
      <c r="G15" s="1534">
        <v>0</v>
      </c>
      <c r="H15" s="1523">
        <f t="shared" si="5"/>
        <v>128000</v>
      </c>
      <c r="I15" s="1535">
        <v>103687</v>
      </c>
      <c r="J15" s="1524">
        <v>24313</v>
      </c>
      <c r="K15" s="1553">
        <f t="shared" si="0"/>
        <v>128000</v>
      </c>
      <c r="L15" s="1523">
        <f t="shared" si="1"/>
        <v>-24313</v>
      </c>
      <c r="M15" s="1535">
        <f t="shared" si="2"/>
        <v>0</v>
      </c>
      <c r="N15" s="1523">
        <f t="shared" si="3"/>
        <v>-24313</v>
      </c>
      <c r="O15" s="1523">
        <f t="shared" si="4"/>
        <v>0</v>
      </c>
      <c r="P15" s="1521">
        <v>0</v>
      </c>
      <c r="Q15" s="1544">
        <v>0</v>
      </c>
      <c r="R15" s="1529"/>
      <c r="S15" s="1529"/>
    </row>
    <row r="16" spans="1:19" ht="19.5" customHeight="1" thickBot="1">
      <c r="A16" s="1554"/>
      <c r="B16" s="1542"/>
      <c r="C16" s="1541" t="s">
        <v>2600</v>
      </c>
      <c r="D16" s="1542"/>
      <c r="E16" s="1543">
        <v>0</v>
      </c>
      <c r="F16" s="1587">
        <v>0</v>
      </c>
      <c r="G16" s="1543">
        <v>0</v>
      </c>
      <c r="H16" s="1543">
        <f t="shared" si="5"/>
        <v>0</v>
      </c>
      <c r="I16" s="1543">
        <v>0</v>
      </c>
      <c r="J16" s="1543">
        <v>0</v>
      </c>
      <c r="K16" s="1522">
        <f t="shared" si="0"/>
        <v>0</v>
      </c>
      <c r="L16" s="1544">
        <f t="shared" si="1"/>
        <v>0</v>
      </c>
      <c r="M16" s="1522">
        <f t="shared" si="2"/>
        <v>0</v>
      </c>
      <c r="N16" s="1544">
        <f t="shared" si="3"/>
        <v>0</v>
      </c>
      <c r="O16" s="1521">
        <f t="shared" si="4"/>
        <v>0</v>
      </c>
      <c r="P16" s="1543">
        <v>20000</v>
      </c>
      <c r="Q16" s="1543">
        <f>SUM(I16/P16)*100</f>
        <v>0</v>
      </c>
      <c r="R16" s="1545"/>
      <c r="S16" s="1545"/>
    </row>
    <row r="17" spans="1:20" ht="19.5" customHeight="1">
      <c r="A17" s="1548" t="s">
        <v>3356</v>
      </c>
      <c r="B17" s="1555" t="s">
        <v>3357</v>
      </c>
      <c r="C17" s="1556"/>
      <c r="D17" s="1510" t="s">
        <v>3358</v>
      </c>
      <c r="E17" s="1514">
        <v>0</v>
      </c>
      <c r="F17" s="1521">
        <v>26561000</v>
      </c>
      <c r="G17" s="1511">
        <v>1302686</v>
      </c>
      <c r="H17" s="1514">
        <f t="shared" si="5"/>
        <v>27863686</v>
      </c>
      <c r="I17" s="1521">
        <v>16745061.33</v>
      </c>
      <c r="J17" s="1514">
        <v>11118624</v>
      </c>
      <c r="K17" s="1515">
        <f t="shared" si="0"/>
        <v>27863685.33</v>
      </c>
      <c r="L17" s="1516">
        <f t="shared" si="1"/>
        <v>-9815938.67</v>
      </c>
      <c r="M17" s="1515">
        <f t="shared" si="2"/>
        <v>1302685.3299999982</v>
      </c>
      <c r="N17" s="1516">
        <f t="shared" si="3"/>
        <v>-11118624.67</v>
      </c>
      <c r="O17" s="1512">
        <f t="shared" si="4"/>
        <v>-0.6700000017881393</v>
      </c>
      <c r="P17" s="1511">
        <v>86339886</v>
      </c>
      <c r="Q17" s="1511">
        <f>SUM(I17/P17)*100</f>
        <v>19.39435191054109</v>
      </c>
      <c r="R17" s="1517"/>
      <c r="S17" s="1517"/>
      <c r="T17" s="1062"/>
    </row>
    <row r="18" spans="1:20" ht="19.5" customHeight="1">
      <c r="A18" s="1552" t="s">
        <v>3359</v>
      </c>
      <c r="B18" s="1549"/>
      <c r="C18" s="1557" t="s">
        <v>3352</v>
      </c>
      <c r="D18" s="1520"/>
      <c r="E18" s="1523">
        <v>0</v>
      </c>
      <c r="F18" s="1523">
        <v>26561000</v>
      </c>
      <c r="G18" s="1536">
        <v>0</v>
      </c>
      <c r="H18" s="1523">
        <v>26561000</v>
      </c>
      <c r="I18" s="1521">
        <v>15442375.33</v>
      </c>
      <c r="J18" s="1524">
        <v>11118624</v>
      </c>
      <c r="K18" s="1553">
        <f t="shared" si="0"/>
        <v>26560999.33</v>
      </c>
      <c r="L18" s="1525">
        <f t="shared" si="1"/>
        <v>-11118624.67</v>
      </c>
      <c r="M18" s="1526">
        <f t="shared" si="2"/>
        <v>-0.6700000017881393</v>
      </c>
      <c r="N18" s="1523">
        <f t="shared" si="3"/>
        <v>-11118624.67</v>
      </c>
      <c r="O18" s="1523">
        <f t="shared" si="4"/>
        <v>-0.6700000017881393</v>
      </c>
      <c r="P18" s="1521">
        <v>0</v>
      </c>
      <c r="Q18" s="1544">
        <v>0</v>
      </c>
      <c r="R18" s="1529"/>
      <c r="S18" s="1529"/>
      <c r="T18" s="1063"/>
    </row>
    <row r="19" spans="1:20" ht="19.5" customHeight="1">
      <c r="A19" s="1552"/>
      <c r="B19" s="1549"/>
      <c r="C19" s="1559" t="s">
        <v>3353</v>
      </c>
      <c r="D19" s="1520"/>
      <c r="E19" s="1536">
        <v>0</v>
      </c>
      <c r="F19" s="1523">
        <v>0</v>
      </c>
      <c r="G19" s="1536">
        <v>0</v>
      </c>
      <c r="H19" s="1523">
        <f aca="true" t="shared" si="6" ref="H19:H53">SUM(F19+G19)</f>
        <v>0</v>
      </c>
      <c r="I19" s="1521">
        <v>0</v>
      </c>
      <c r="J19" s="1524">
        <v>0</v>
      </c>
      <c r="K19" s="1553">
        <f t="shared" si="0"/>
        <v>0</v>
      </c>
      <c r="L19" s="1523">
        <f t="shared" si="1"/>
        <v>0</v>
      </c>
      <c r="M19" s="1535">
        <f t="shared" si="2"/>
        <v>0</v>
      </c>
      <c r="N19" s="1523">
        <f t="shared" si="3"/>
        <v>0</v>
      </c>
      <c r="O19" s="1523">
        <f t="shared" si="4"/>
        <v>0</v>
      </c>
      <c r="P19" s="1521">
        <v>0</v>
      </c>
      <c r="Q19" s="1544">
        <v>0</v>
      </c>
      <c r="R19" s="1529"/>
      <c r="S19" s="1529"/>
      <c r="T19" s="1063"/>
    </row>
    <row r="20" spans="1:20" ht="19.5" customHeight="1" thickBot="1">
      <c r="A20" s="1554"/>
      <c r="B20" s="1540"/>
      <c r="C20" s="1541" t="s">
        <v>2600</v>
      </c>
      <c r="D20" s="1542"/>
      <c r="E20" s="1543">
        <v>0</v>
      </c>
      <c r="F20" s="1543">
        <v>0</v>
      </c>
      <c r="G20" s="1536">
        <v>1302686</v>
      </c>
      <c r="H20" s="1543">
        <f t="shared" si="6"/>
        <v>1302686</v>
      </c>
      <c r="I20" s="1521">
        <v>1302686</v>
      </c>
      <c r="J20" s="1543">
        <v>0</v>
      </c>
      <c r="K20" s="1534">
        <f t="shared" si="0"/>
        <v>1302686</v>
      </c>
      <c r="L20" s="1544">
        <f t="shared" si="1"/>
        <v>1302686</v>
      </c>
      <c r="M20" s="1522">
        <f t="shared" si="2"/>
        <v>1302686</v>
      </c>
      <c r="N20" s="1543">
        <f t="shared" si="3"/>
        <v>0</v>
      </c>
      <c r="O20" s="1523">
        <f t="shared" si="4"/>
        <v>0</v>
      </c>
      <c r="P20" s="1587">
        <v>0</v>
      </c>
      <c r="Q20" s="1543">
        <v>0</v>
      </c>
      <c r="R20" s="1545"/>
      <c r="S20" s="1545"/>
      <c r="T20" s="1063"/>
    </row>
    <row r="21" spans="1:20" ht="19.5" customHeight="1">
      <c r="A21" s="1560"/>
      <c r="B21" s="1561" t="s">
        <v>3360</v>
      </c>
      <c r="C21" s="1556"/>
      <c r="D21" s="1510" t="s">
        <v>3361</v>
      </c>
      <c r="E21" s="1511">
        <v>0</v>
      </c>
      <c r="F21" s="1511">
        <v>0</v>
      </c>
      <c r="G21" s="1511">
        <v>0</v>
      </c>
      <c r="H21" s="1514">
        <f t="shared" si="6"/>
        <v>0</v>
      </c>
      <c r="I21" s="1511">
        <v>0</v>
      </c>
      <c r="J21" s="1511">
        <v>0</v>
      </c>
      <c r="K21" s="1513">
        <f t="shared" si="0"/>
        <v>0</v>
      </c>
      <c r="L21" s="1516">
        <f t="shared" si="1"/>
        <v>0</v>
      </c>
      <c r="M21" s="1513">
        <f t="shared" si="2"/>
        <v>0</v>
      </c>
      <c r="N21" s="1516">
        <f t="shared" si="3"/>
        <v>0</v>
      </c>
      <c r="O21" s="1516">
        <f t="shared" si="4"/>
        <v>0</v>
      </c>
      <c r="P21" s="1511">
        <v>0</v>
      </c>
      <c r="Q21" s="1511">
        <v>0</v>
      </c>
      <c r="R21" s="1517"/>
      <c r="S21" s="1517"/>
      <c r="T21" s="1062"/>
    </row>
    <row r="22" spans="1:20" ht="19.5" customHeight="1">
      <c r="A22" s="1560"/>
      <c r="B22" s="1562"/>
      <c r="C22" s="1557" t="s">
        <v>3352</v>
      </c>
      <c r="D22" s="1520" t="s">
        <v>3362</v>
      </c>
      <c r="E22" s="1521">
        <v>0</v>
      </c>
      <c r="F22" s="1544">
        <v>0</v>
      </c>
      <c r="G22" s="1544">
        <v>0</v>
      </c>
      <c r="H22" s="1523">
        <f t="shared" si="6"/>
        <v>0</v>
      </c>
      <c r="I22" s="1544">
        <v>0</v>
      </c>
      <c r="J22" s="1544">
        <v>0</v>
      </c>
      <c r="K22" s="1563">
        <f t="shared" si="0"/>
        <v>0</v>
      </c>
      <c r="L22" s="1525">
        <f t="shared" si="1"/>
        <v>0</v>
      </c>
      <c r="M22" s="1563">
        <f t="shared" si="2"/>
        <v>0</v>
      </c>
      <c r="N22" s="1523">
        <f t="shared" si="3"/>
        <v>0</v>
      </c>
      <c r="O22" s="1523">
        <f t="shared" si="4"/>
        <v>0</v>
      </c>
      <c r="P22" s="1521">
        <v>0</v>
      </c>
      <c r="Q22" s="1544">
        <v>0</v>
      </c>
      <c r="R22" s="1529"/>
      <c r="S22" s="1529"/>
      <c r="T22" s="1062"/>
    </row>
    <row r="23" spans="1:20" ht="19.5" customHeight="1">
      <c r="A23" s="1552"/>
      <c r="B23" s="1565"/>
      <c r="C23" s="1559" t="s">
        <v>3353</v>
      </c>
      <c r="D23" s="1532"/>
      <c r="E23" s="1533">
        <v>0</v>
      </c>
      <c r="F23" s="1566">
        <v>0</v>
      </c>
      <c r="G23" s="1566">
        <v>0</v>
      </c>
      <c r="H23" s="1523">
        <f t="shared" si="6"/>
        <v>0</v>
      </c>
      <c r="I23" s="1523">
        <v>0</v>
      </c>
      <c r="J23" s="1523">
        <v>0</v>
      </c>
      <c r="K23" s="1524">
        <f t="shared" si="0"/>
        <v>0</v>
      </c>
      <c r="L23" s="1523">
        <f t="shared" si="1"/>
        <v>0</v>
      </c>
      <c r="M23" s="1535">
        <f t="shared" si="2"/>
        <v>0</v>
      </c>
      <c r="N23" s="1523">
        <f t="shared" si="3"/>
        <v>0</v>
      </c>
      <c r="O23" s="1523">
        <f t="shared" si="4"/>
        <v>0</v>
      </c>
      <c r="P23" s="1521">
        <v>0</v>
      </c>
      <c r="Q23" s="1544">
        <v>0</v>
      </c>
      <c r="R23" s="1567"/>
      <c r="S23" s="1567"/>
      <c r="T23" s="1062"/>
    </row>
    <row r="24" spans="1:20" ht="19.5" customHeight="1" thickBot="1">
      <c r="A24" s="1564"/>
      <c r="B24" s="1565"/>
      <c r="C24" s="1541" t="s">
        <v>2600</v>
      </c>
      <c r="D24" s="1542"/>
      <c r="E24" s="1543">
        <v>0</v>
      </c>
      <c r="F24" s="1543">
        <v>0</v>
      </c>
      <c r="G24" s="1543">
        <v>0</v>
      </c>
      <c r="H24" s="1543">
        <f t="shared" si="6"/>
        <v>0</v>
      </c>
      <c r="I24" s="1568">
        <v>0</v>
      </c>
      <c r="J24" s="1568">
        <v>0</v>
      </c>
      <c r="K24" s="1569">
        <f t="shared" si="0"/>
        <v>0</v>
      </c>
      <c r="L24" s="1544">
        <f t="shared" si="1"/>
        <v>0</v>
      </c>
      <c r="M24" s="1569">
        <f t="shared" si="2"/>
        <v>0</v>
      </c>
      <c r="N24" s="1543">
        <f t="shared" si="3"/>
        <v>0</v>
      </c>
      <c r="O24" s="1587">
        <f t="shared" si="4"/>
        <v>0</v>
      </c>
      <c r="P24" s="1543">
        <v>0</v>
      </c>
      <c r="Q24" s="1543">
        <v>0</v>
      </c>
      <c r="R24" s="1570"/>
      <c r="S24" s="1570"/>
      <c r="T24" s="1062"/>
    </row>
    <row r="25" spans="1:20" ht="19.5" customHeight="1">
      <c r="A25" s="1571"/>
      <c r="B25" s="1547" t="s">
        <v>3363</v>
      </c>
      <c r="C25" s="1559"/>
      <c r="D25" s="1572" t="s">
        <v>3364</v>
      </c>
      <c r="E25" s="1521">
        <v>0</v>
      </c>
      <c r="F25" s="1521">
        <v>0</v>
      </c>
      <c r="G25" s="1521"/>
      <c r="H25" s="1514">
        <f t="shared" si="6"/>
        <v>0</v>
      </c>
      <c r="I25" s="1511">
        <v>0</v>
      </c>
      <c r="J25" s="1511">
        <v>0</v>
      </c>
      <c r="K25" s="1513">
        <f t="shared" si="0"/>
        <v>0</v>
      </c>
      <c r="L25" s="1544">
        <f t="shared" si="1"/>
        <v>0</v>
      </c>
      <c r="M25" s="1513">
        <f t="shared" si="2"/>
        <v>0</v>
      </c>
      <c r="N25" s="1516">
        <f t="shared" si="3"/>
        <v>0</v>
      </c>
      <c r="O25" s="1512">
        <f t="shared" si="4"/>
        <v>0</v>
      </c>
      <c r="P25" s="1521">
        <v>0</v>
      </c>
      <c r="Q25" s="1521">
        <v>0</v>
      </c>
      <c r="R25" s="1528"/>
      <c r="S25" s="1528"/>
      <c r="T25" s="1062"/>
    </row>
    <row r="26" spans="1:20" ht="19.5" customHeight="1">
      <c r="A26" s="1552"/>
      <c r="B26" s="1549"/>
      <c r="C26" s="1573" t="s">
        <v>3352</v>
      </c>
      <c r="D26" s="1520"/>
      <c r="E26" s="1521">
        <v>0</v>
      </c>
      <c r="F26" s="1544">
        <v>0</v>
      </c>
      <c r="G26" s="1544">
        <v>0</v>
      </c>
      <c r="H26" s="1523">
        <f t="shared" si="6"/>
        <v>0</v>
      </c>
      <c r="I26" s="1544">
        <v>0</v>
      </c>
      <c r="J26" s="1544">
        <v>0</v>
      </c>
      <c r="K26" s="1563">
        <f t="shared" si="0"/>
        <v>0</v>
      </c>
      <c r="L26" s="1544">
        <f t="shared" si="1"/>
        <v>0</v>
      </c>
      <c r="M26" s="1563">
        <f t="shared" si="2"/>
        <v>0</v>
      </c>
      <c r="N26" s="1523">
        <f t="shared" si="3"/>
        <v>0</v>
      </c>
      <c r="O26" s="1537">
        <f t="shared" si="4"/>
        <v>0</v>
      </c>
      <c r="P26" s="1544">
        <v>0</v>
      </c>
      <c r="Q26" s="1544">
        <v>0</v>
      </c>
      <c r="R26" s="1529"/>
      <c r="S26" s="1529"/>
      <c r="T26" s="1062"/>
    </row>
    <row r="27" spans="1:20" ht="19.5" customHeight="1">
      <c r="A27" s="1552"/>
      <c r="B27" s="1549"/>
      <c r="C27" s="1559" t="s">
        <v>3353</v>
      </c>
      <c r="D27" s="1520"/>
      <c r="E27" s="1521">
        <v>0</v>
      </c>
      <c r="F27" s="1544">
        <v>0</v>
      </c>
      <c r="G27" s="1566">
        <v>0</v>
      </c>
      <c r="H27" s="1523">
        <f t="shared" si="6"/>
        <v>0</v>
      </c>
      <c r="I27" s="1566">
        <v>0</v>
      </c>
      <c r="J27" s="1566">
        <v>0</v>
      </c>
      <c r="K27" s="1524">
        <f t="shared" si="0"/>
        <v>0</v>
      </c>
      <c r="L27" s="1544">
        <f t="shared" si="1"/>
        <v>0</v>
      </c>
      <c r="M27" s="1535">
        <f t="shared" si="2"/>
        <v>0</v>
      </c>
      <c r="N27" s="1523">
        <f t="shared" si="3"/>
        <v>0</v>
      </c>
      <c r="O27" s="1537">
        <f t="shared" si="4"/>
        <v>0</v>
      </c>
      <c r="P27" s="1544">
        <v>0</v>
      </c>
      <c r="Q27" s="1544">
        <v>0</v>
      </c>
      <c r="R27" s="1529"/>
      <c r="S27" s="1529"/>
      <c r="T27" s="1062"/>
    </row>
    <row r="28" spans="1:20" ht="19.5" customHeight="1" thickBot="1">
      <c r="A28" s="1554"/>
      <c r="B28" s="1574"/>
      <c r="C28" s="1541" t="s">
        <v>2600</v>
      </c>
      <c r="D28" s="1542"/>
      <c r="E28" s="1543">
        <v>0</v>
      </c>
      <c r="F28" s="1543">
        <v>0</v>
      </c>
      <c r="G28" s="1543">
        <v>0</v>
      </c>
      <c r="H28" s="1543">
        <f t="shared" si="6"/>
        <v>0</v>
      </c>
      <c r="I28" s="1543">
        <v>0</v>
      </c>
      <c r="J28" s="1543">
        <v>0</v>
      </c>
      <c r="K28" s="1569">
        <f t="shared" si="0"/>
        <v>0</v>
      </c>
      <c r="L28" s="1543">
        <f t="shared" si="1"/>
        <v>0</v>
      </c>
      <c r="M28" s="1569">
        <f t="shared" si="2"/>
        <v>0</v>
      </c>
      <c r="N28" s="1543">
        <f t="shared" si="3"/>
        <v>0</v>
      </c>
      <c r="O28" s="1587">
        <f t="shared" si="4"/>
        <v>0</v>
      </c>
      <c r="P28" s="1543">
        <v>0</v>
      </c>
      <c r="Q28" s="1543">
        <v>0</v>
      </c>
      <c r="R28" s="1545"/>
      <c r="S28" s="1545"/>
      <c r="T28" s="1062"/>
    </row>
    <row r="29" spans="1:20" ht="19.5" customHeight="1">
      <c r="A29" s="1571"/>
      <c r="B29" s="1561" t="s">
        <v>3365</v>
      </c>
      <c r="C29" s="1575"/>
      <c r="D29" s="1572" t="s">
        <v>3358</v>
      </c>
      <c r="E29" s="1511">
        <v>0</v>
      </c>
      <c r="F29" s="1511">
        <v>0</v>
      </c>
      <c r="G29" s="1511">
        <v>0</v>
      </c>
      <c r="H29" s="1514">
        <f t="shared" si="6"/>
        <v>0</v>
      </c>
      <c r="I29" s="1511">
        <v>0</v>
      </c>
      <c r="J29" s="1511">
        <v>0</v>
      </c>
      <c r="K29" s="1513">
        <f t="shared" si="0"/>
        <v>0</v>
      </c>
      <c r="L29" s="1514">
        <f t="shared" si="1"/>
        <v>0</v>
      </c>
      <c r="M29" s="1513">
        <f t="shared" si="2"/>
        <v>0</v>
      </c>
      <c r="N29" s="1516">
        <f t="shared" si="3"/>
        <v>0</v>
      </c>
      <c r="O29" s="1512">
        <f t="shared" si="4"/>
        <v>0</v>
      </c>
      <c r="P29" s="1511">
        <v>0</v>
      </c>
      <c r="Q29" s="1511">
        <v>0</v>
      </c>
      <c r="R29" s="1517"/>
      <c r="S29" s="1517"/>
      <c r="T29" s="1062"/>
    </row>
    <row r="30" spans="1:20" ht="19.5" customHeight="1">
      <c r="A30" s="1560"/>
      <c r="B30" s="1562"/>
      <c r="C30" s="1576" t="s">
        <v>3352</v>
      </c>
      <c r="D30" s="1520"/>
      <c r="E30" s="1521">
        <v>0</v>
      </c>
      <c r="F30" s="1544">
        <v>0</v>
      </c>
      <c r="G30" s="1544">
        <v>0</v>
      </c>
      <c r="H30" s="1523">
        <f t="shared" si="6"/>
        <v>0</v>
      </c>
      <c r="I30" s="1544">
        <v>0</v>
      </c>
      <c r="J30" s="1544">
        <v>0</v>
      </c>
      <c r="K30" s="1563">
        <f t="shared" si="0"/>
        <v>0</v>
      </c>
      <c r="L30" s="1544">
        <f t="shared" si="1"/>
        <v>0</v>
      </c>
      <c r="M30" s="1563">
        <f t="shared" si="2"/>
        <v>0</v>
      </c>
      <c r="N30" s="1523">
        <f t="shared" si="3"/>
        <v>0</v>
      </c>
      <c r="O30" s="1537">
        <f t="shared" si="4"/>
        <v>0</v>
      </c>
      <c r="P30" s="1544">
        <v>0</v>
      </c>
      <c r="Q30" s="1544">
        <v>0</v>
      </c>
      <c r="R30" s="1529"/>
      <c r="S30" s="1529"/>
      <c r="T30" s="1062"/>
    </row>
    <row r="31" spans="1:20" ht="19.5" customHeight="1">
      <c r="A31" s="1552"/>
      <c r="B31" s="1565"/>
      <c r="C31" s="1559" t="s">
        <v>3353</v>
      </c>
      <c r="D31" s="1532"/>
      <c r="E31" s="1533">
        <v>0</v>
      </c>
      <c r="F31" s="1566">
        <v>0</v>
      </c>
      <c r="G31" s="1566">
        <v>0</v>
      </c>
      <c r="H31" s="1523">
        <f t="shared" si="6"/>
        <v>0</v>
      </c>
      <c r="I31" s="1566">
        <v>0</v>
      </c>
      <c r="J31" s="1566">
        <v>0</v>
      </c>
      <c r="K31" s="1524">
        <f t="shared" si="0"/>
        <v>0</v>
      </c>
      <c r="L31" s="1523">
        <f t="shared" si="1"/>
        <v>0</v>
      </c>
      <c r="M31" s="1535">
        <f t="shared" si="2"/>
        <v>0</v>
      </c>
      <c r="N31" s="1523">
        <f t="shared" si="3"/>
        <v>0</v>
      </c>
      <c r="O31" s="1537">
        <f t="shared" si="4"/>
        <v>0</v>
      </c>
      <c r="P31" s="1523">
        <v>0</v>
      </c>
      <c r="Q31" s="1523">
        <v>0</v>
      </c>
      <c r="R31" s="1567"/>
      <c r="S31" s="1567"/>
      <c r="T31" s="1062"/>
    </row>
    <row r="32" spans="1:20" ht="19.5" customHeight="1" thickBot="1">
      <c r="A32" s="1564"/>
      <c r="B32" s="1577"/>
      <c r="C32" s="1541" t="s">
        <v>2600</v>
      </c>
      <c r="D32" s="1542"/>
      <c r="E32" s="1543">
        <v>0</v>
      </c>
      <c r="F32" s="1543">
        <v>0</v>
      </c>
      <c r="G32" s="1543">
        <v>0</v>
      </c>
      <c r="H32" s="1543">
        <f t="shared" si="6"/>
        <v>0</v>
      </c>
      <c r="I32" s="1543">
        <v>0</v>
      </c>
      <c r="J32" s="1543">
        <v>0</v>
      </c>
      <c r="K32" s="1569">
        <f t="shared" si="0"/>
        <v>0</v>
      </c>
      <c r="L32" s="1568">
        <f t="shared" si="1"/>
        <v>0</v>
      </c>
      <c r="M32" s="1569">
        <f t="shared" si="2"/>
        <v>0</v>
      </c>
      <c r="N32" s="1543">
        <f t="shared" si="3"/>
        <v>0</v>
      </c>
      <c r="O32" s="1587">
        <f t="shared" si="4"/>
        <v>0</v>
      </c>
      <c r="P32" s="1568">
        <v>0</v>
      </c>
      <c r="Q32" s="1568">
        <v>0</v>
      </c>
      <c r="R32" s="1570"/>
      <c r="S32" s="1570"/>
      <c r="T32" s="1062"/>
    </row>
    <row r="33" spans="1:20" ht="19.5" customHeight="1">
      <c r="A33" s="1571" t="s">
        <v>3356</v>
      </c>
      <c r="B33" s="1555" t="s">
        <v>3366</v>
      </c>
      <c r="C33" s="1578"/>
      <c r="D33" s="1579" t="s">
        <v>3351</v>
      </c>
      <c r="E33" s="1521">
        <v>300000</v>
      </c>
      <c r="F33" s="1533">
        <v>300000</v>
      </c>
      <c r="G33" s="1522">
        <v>0</v>
      </c>
      <c r="H33" s="1516">
        <f t="shared" si="6"/>
        <v>300000</v>
      </c>
      <c r="I33" s="1580">
        <v>243792.98</v>
      </c>
      <c r="J33" s="1514">
        <v>56207.02</v>
      </c>
      <c r="K33" s="1513">
        <f t="shared" si="0"/>
        <v>300000</v>
      </c>
      <c r="L33" s="1514">
        <f t="shared" si="1"/>
        <v>-56207.01999999999</v>
      </c>
      <c r="M33" s="1513">
        <f t="shared" si="2"/>
        <v>0</v>
      </c>
      <c r="N33" s="1516">
        <f t="shared" si="3"/>
        <v>-56207.01999999999</v>
      </c>
      <c r="O33" s="1512">
        <f t="shared" si="4"/>
        <v>0</v>
      </c>
      <c r="P33" s="1511">
        <v>66000</v>
      </c>
      <c r="Q33" s="1511">
        <f>SUM(I33/P33)*100</f>
        <v>369.38330303030307</v>
      </c>
      <c r="R33" s="1517"/>
      <c r="S33" s="1517"/>
      <c r="T33" s="1062"/>
    </row>
    <row r="34" spans="1:20" ht="19.5" customHeight="1">
      <c r="A34" s="1552"/>
      <c r="B34" s="1549"/>
      <c r="C34" s="1557" t="s">
        <v>3352</v>
      </c>
      <c r="D34" s="1520"/>
      <c r="E34" s="1521"/>
      <c r="F34" s="1523">
        <v>0</v>
      </c>
      <c r="G34" s="1563">
        <v>0</v>
      </c>
      <c r="H34" s="1550">
        <f t="shared" si="6"/>
        <v>0</v>
      </c>
      <c r="I34" s="1535">
        <v>0</v>
      </c>
      <c r="J34" s="1523">
        <v>0</v>
      </c>
      <c r="K34" s="1563">
        <f t="shared" si="0"/>
        <v>0</v>
      </c>
      <c r="L34" s="1544">
        <f t="shared" si="1"/>
        <v>0</v>
      </c>
      <c r="M34" s="1563">
        <f t="shared" si="2"/>
        <v>0</v>
      </c>
      <c r="N34" s="1523">
        <f t="shared" si="3"/>
        <v>0</v>
      </c>
      <c r="O34" s="1537">
        <f t="shared" si="4"/>
        <v>0</v>
      </c>
      <c r="P34" s="1544">
        <v>0</v>
      </c>
      <c r="Q34" s="1544">
        <v>0</v>
      </c>
      <c r="R34" s="1529"/>
      <c r="S34" s="1529"/>
      <c r="T34" s="1062"/>
    </row>
    <row r="35" spans="1:19" ht="19.5" customHeight="1">
      <c r="A35" s="1552"/>
      <c r="B35" s="1549"/>
      <c r="C35" s="1576" t="s">
        <v>3353</v>
      </c>
      <c r="D35" s="1532"/>
      <c r="E35" s="1521">
        <v>300000</v>
      </c>
      <c r="F35" s="1523">
        <v>300000</v>
      </c>
      <c r="G35" s="1563">
        <v>0</v>
      </c>
      <c r="H35" s="1523">
        <f t="shared" si="6"/>
        <v>300000</v>
      </c>
      <c r="I35" s="1524">
        <v>243792.98</v>
      </c>
      <c r="J35" s="1523">
        <v>56207.02</v>
      </c>
      <c r="K35" s="1524">
        <f t="shared" si="0"/>
        <v>300000</v>
      </c>
      <c r="L35" s="1523">
        <f t="shared" si="1"/>
        <v>-56207.01999999999</v>
      </c>
      <c r="M35" s="1535">
        <f t="shared" si="2"/>
        <v>0</v>
      </c>
      <c r="N35" s="1523">
        <f t="shared" si="3"/>
        <v>-56207.01999999999</v>
      </c>
      <c r="O35" s="1537">
        <f t="shared" si="4"/>
        <v>0</v>
      </c>
      <c r="P35" s="1544">
        <v>0</v>
      </c>
      <c r="Q35" s="1523">
        <v>0</v>
      </c>
      <c r="R35" s="1529"/>
      <c r="S35" s="1529"/>
    </row>
    <row r="36" spans="1:19" ht="19.5" customHeight="1" thickBot="1">
      <c r="A36" s="1554"/>
      <c r="B36" s="1574"/>
      <c r="C36" s="1541" t="s">
        <v>2600</v>
      </c>
      <c r="D36" s="1542"/>
      <c r="E36" s="1543">
        <v>0</v>
      </c>
      <c r="F36" s="1543">
        <v>0</v>
      </c>
      <c r="G36" s="1543">
        <v>0</v>
      </c>
      <c r="H36" s="1543">
        <f t="shared" si="6"/>
        <v>0</v>
      </c>
      <c r="I36" s="1543"/>
      <c r="J36" s="1543">
        <v>0</v>
      </c>
      <c r="K36" s="1569">
        <f t="shared" si="0"/>
        <v>0</v>
      </c>
      <c r="L36" s="1568">
        <f t="shared" si="1"/>
        <v>0</v>
      </c>
      <c r="M36" s="1569">
        <f t="shared" si="2"/>
        <v>0</v>
      </c>
      <c r="N36" s="1543">
        <f t="shared" si="3"/>
        <v>0</v>
      </c>
      <c r="O36" s="1587">
        <f t="shared" si="4"/>
        <v>0</v>
      </c>
      <c r="P36" s="1544">
        <v>0</v>
      </c>
      <c r="Q36" s="1568">
        <v>0</v>
      </c>
      <c r="R36" s="1545"/>
      <c r="S36" s="1545"/>
    </row>
    <row r="37" spans="1:19" ht="19.5" customHeight="1">
      <c r="A37" s="1548" t="s">
        <v>3359</v>
      </c>
      <c r="B37" s="1555" t="s">
        <v>3367</v>
      </c>
      <c r="C37" s="1509"/>
      <c r="D37" s="1579" t="s">
        <v>3361</v>
      </c>
      <c r="E37" s="1511">
        <v>0</v>
      </c>
      <c r="F37" s="1544">
        <v>406000</v>
      </c>
      <c r="G37" s="1522">
        <v>0</v>
      </c>
      <c r="H37" s="1514">
        <f t="shared" si="6"/>
        <v>406000</v>
      </c>
      <c r="I37" s="1521">
        <v>260019.76</v>
      </c>
      <c r="J37" s="1521">
        <v>145980</v>
      </c>
      <c r="K37" s="1512">
        <f t="shared" si="0"/>
        <v>405999.76</v>
      </c>
      <c r="L37" s="1512">
        <f t="shared" si="1"/>
        <v>-145980.24</v>
      </c>
      <c r="M37" s="1515">
        <f t="shared" si="2"/>
        <v>-0.23999999999068677</v>
      </c>
      <c r="N37" s="1516">
        <f t="shared" si="3"/>
        <v>-145980.24</v>
      </c>
      <c r="O37" s="1512">
        <f t="shared" si="4"/>
        <v>-0.23999999999068677</v>
      </c>
      <c r="P37" s="1512">
        <v>2597049</v>
      </c>
      <c r="Q37" s="1512">
        <f>SUM(I37/P37)*100</f>
        <v>10.012123760468132</v>
      </c>
      <c r="R37" s="1517"/>
      <c r="S37" s="1517"/>
    </row>
    <row r="38" spans="1:19" ht="19.5" customHeight="1">
      <c r="A38" s="1548"/>
      <c r="B38" s="1518"/>
      <c r="C38" s="1519" t="s">
        <v>3352</v>
      </c>
      <c r="D38" s="1520" t="s">
        <v>3362</v>
      </c>
      <c r="E38" s="1521">
        <v>0</v>
      </c>
      <c r="F38" s="1521">
        <v>310000</v>
      </c>
      <c r="G38" s="1563">
        <v>0</v>
      </c>
      <c r="H38" s="1523">
        <f t="shared" si="6"/>
        <v>310000</v>
      </c>
      <c r="I38" s="1544">
        <v>164224.76</v>
      </c>
      <c r="J38" s="1523">
        <v>145775</v>
      </c>
      <c r="K38" s="1536">
        <f t="shared" si="0"/>
        <v>309999.76</v>
      </c>
      <c r="L38" s="1536">
        <f t="shared" si="1"/>
        <v>-145775.24</v>
      </c>
      <c r="M38" s="1535">
        <f t="shared" si="2"/>
        <v>-0.23999999999068677</v>
      </c>
      <c r="N38" s="1523">
        <f t="shared" si="3"/>
        <v>-145775.24</v>
      </c>
      <c r="O38" s="1536">
        <f t="shared" si="4"/>
        <v>-0.23999999999068677</v>
      </c>
      <c r="P38" s="1536">
        <v>2597049</v>
      </c>
      <c r="Q38" s="1537">
        <f>SUM(I38/P38)*100</f>
        <v>6.323514111593583</v>
      </c>
      <c r="R38" s="1528"/>
      <c r="S38" s="1529"/>
    </row>
    <row r="39" spans="1:19" ht="19.5" customHeight="1">
      <c r="A39" s="1530"/>
      <c r="B39" s="1540"/>
      <c r="C39" s="1531" t="s">
        <v>3353</v>
      </c>
      <c r="D39" s="1532"/>
      <c r="E39" s="1533">
        <v>0</v>
      </c>
      <c r="F39" s="1566">
        <v>96000</v>
      </c>
      <c r="G39" s="1563">
        <v>0</v>
      </c>
      <c r="H39" s="1525">
        <f t="shared" si="6"/>
        <v>96000</v>
      </c>
      <c r="I39" s="1566">
        <v>95795</v>
      </c>
      <c r="J39" s="1544">
        <v>205</v>
      </c>
      <c r="K39" s="1536">
        <f t="shared" si="0"/>
        <v>96000</v>
      </c>
      <c r="L39" s="1536">
        <f t="shared" si="1"/>
        <v>-205</v>
      </c>
      <c r="M39" s="1535">
        <f t="shared" si="2"/>
        <v>0</v>
      </c>
      <c r="N39" s="1523">
        <f t="shared" si="3"/>
        <v>-205</v>
      </c>
      <c r="O39" s="1536">
        <f t="shared" si="4"/>
        <v>0</v>
      </c>
      <c r="P39" s="1536">
        <v>0</v>
      </c>
      <c r="Q39" s="1537">
        <v>0</v>
      </c>
      <c r="R39" s="1538"/>
      <c r="S39" s="1539"/>
    </row>
    <row r="40" spans="1:19" ht="19.5" customHeight="1" thickBot="1">
      <c r="A40" s="1554"/>
      <c r="B40" s="1581"/>
      <c r="C40" s="1541" t="s">
        <v>2600</v>
      </c>
      <c r="D40" s="1542"/>
      <c r="E40" s="1543">
        <v>0</v>
      </c>
      <c r="F40" s="1543">
        <v>0</v>
      </c>
      <c r="G40" s="1543">
        <v>0</v>
      </c>
      <c r="H40" s="1543">
        <f t="shared" si="6"/>
        <v>0</v>
      </c>
      <c r="I40" s="1543">
        <v>0</v>
      </c>
      <c r="J40" s="1543">
        <v>0</v>
      </c>
      <c r="K40" s="1521">
        <f t="shared" si="0"/>
        <v>0</v>
      </c>
      <c r="L40" s="1521">
        <f t="shared" si="1"/>
        <v>0</v>
      </c>
      <c r="M40" s="1522">
        <f t="shared" si="2"/>
        <v>0</v>
      </c>
      <c r="N40" s="1544">
        <f t="shared" si="3"/>
        <v>0</v>
      </c>
      <c r="O40" s="1521">
        <f t="shared" si="4"/>
        <v>0</v>
      </c>
      <c r="P40" s="1521">
        <v>0</v>
      </c>
      <c r="Q40" s="1521">
        <v>0</v>
      </c>
      <c r="R40" s="1545"/>
      <c r="S40" s="1545"/>
    </row>
    <row r="41" spans="1:19" ht="19.5" customHeight="1">
      <c r="A41" s="1571" t="s">
        <v>3359</v>
      </c>
      <c r="B41" s="1547" t="s">
        <v>3368</v>
      </c>
      <c r="C41" s="1509"/>
      <c r="D41" s="1510" t="s">
        <v>3369</v>
      </c>
      <c r="E41" s="1511">
        <v>0</v>
      </c>
      <c r="F41" s="1544">
        <v>1122000</v>
      </c>
      <c r="G41" s="1522">
        <v>0</v>
      </c>
      <c r="H41" s="1516">
        <f t="shared" si="6"/>
        <v>1122000</v>
      </c>
      <c r="I41" s="1512">
        <v>832604.92</v>
      </c>
      <c r="J41" s="1512">
        <v>289395</v>
      </c>
      <c r="K41" s="1512">
        <f aca="true" t="shared" si="7" ref="K41:K57">SUM(I41+J41)</f>
        <v>1121999.92</v>
      </c>
      <c r="L41" s="1512">
        <f t="shared" si="1"/>
        <v>-289395.07999999996</v>
      </c>
      <c r="M41" s="1515">
        <f t="shared" si="2"/>
        <v>-0.0800000000745058</v>
      </c>
      <c r="N41" s="1516">
        <f t="shared" si="3"/>
        <v>-289395.07999999996</v>
      </c>
      <c r="O41" s="1512">
        <f t="shared" si="4"/>
        <v>-0.0800000000745058</v>
      </c>
      <c r="P41" s="1512">
        <v>5672387</v>
      </c>
      <c r="Q41" s="1512">
        <f>SUM(I41/P41)*100</f>
        <v>14.67821077793176</v>
      </c>
      <c r="R41" s="1582"/>
      <c r="S41" s="1582"/>
    </row>
    <row r="42" spans="1:19" ht="19.5" customHeight="1">
      <c r="A42" s="1548"/>
      <c r="B42" s="1540"/>
      <c r="C42" s="1519" t="s">
        <v>3352</v>
      </c>
      <c r="D42" s="1520"/>
      <c r="E42" s="1521">
        <v>0</v>
      </c>
      <c r="F42" s="1521">
        <v>599000</v>
      </c>
      <c r="G42" s="1523">
        <v>0</v>
      </c>
      <c r="H42" s="1536">
        <f t="shared" si="6"/>
        <v>599000</v>
      </c>
      <c r="I42" s="1523">
        <v>502894</v>
      </c>
      <c r="J42" s="1523">
        <v>96106</v>
      </c>
      <c r="K42" s="1536">
        <f t="shared" si="7"/>
        <v>599000</v>
      </c>
      <c r="L42" s="1536">
        <f t="shared" si="1"/>
        <v>-96106</v>
      </c>
      <c r="M42" s="1535">
        <f t="shared" si="2"/>
        <v>0</v>
      </c>
      <c r="N42" s="1523">
        <f t="shared" si="3"/>
        <v>-96106</v>
      </c>
      <c r="O42" s="1536">
        <f t="shared" si="4"/>
        <v>0</v>
      </c>
      <c r="P42" s="1536">
        <v>5184822</v>
      </c>
      <c r="Q42" s="1536">
        <f>SUM(I42/P42)*100</f>
        <v>9.699349370142311</v>
      </c>
      <c r="R42" s="1567"/>
      <c r="S42" s="1567"/>
    </row>
    <row r="43" spans="1:19" ht="19.5" customHeight="1">
      <c r="A43" s="1564"/>
      <c r="B43" s="1520"/>
      <c r="C43" s="1559" t="s">
        <v>3353</v>
      </c>
      <c r="D43" s="1532"/>
      <c r="E43" s="1533">
        <v>0</v>
      </c>
      <c r="F43" s="1566">
        <v>523000</v>
      </c>
      <c r="G43" s="1563">
        <v>0</v>
      </c>
      <c r="H43" s="1566">
        <f t="shared" si="6"/>
        <v>523000</v>
      </c>
      <c r="I43" s="1566">
        <v>329710.92</v>
      </c>
      <c r="J43" s="1566">
        <v>193289</v>
      </c>
      <c r="K43" s="1533">
        <f t="shared" si="7"/>
        <v>522999.92</v>
      </c>
      <c r="L43" s="1533">
        <f t="shared" si="1"/>
        <v>-193289.08000000002</v>
      </c>
      <c r="M43" s="1534">
        <f t="shared" si="2"/>
        <v>-0.08000000001629815</v>
      </c>
      <c r="N43" s="1566">
        <f t="shared" si="3"/>
        <v>-193289.08000000002</v>
      </c>
      <c r="O43" s="1533">
        <f t="shared" si="4"/>
        <v>-0.08000000001629815</v>
      </c>
      <c r="P43" s="1533">
        <v>487565</v>
      </c>
      <c r="Q43" s="1533">
        <f>SUM(I43/P43)*100</f>
        <v>67.62399269840944</v>
      </c>
      <c r="R43" s="1539"/>
      <c r="S43" s="1539"/>
    </row>
    <row r="44" spans="1:19" ht="19.5" customHeight="1" thickBot="1">
      <c r="A44" s="1583"/>
      <c r="B44" s="1584"/>
      <c r="C44" s="1541" t="s">
        <v>2600</v>
      </c>
      <c r="D44" s="1581"/>
      <c r="E44" s="1543">
        <v>0</v>
      </c>
      <c r="F44" s="1586"/>
      <c r="G44" s="1543">
        <v>0</v>
      </c>
      <c r="H44" s="1543">
        <f t="shared" si="6"/>
        <v>0</v>
      </c>
      <c r="I44" s="1587">
        <v>0</v>
      </c>
      <c r="J44" s="1587">
        <v>0</v>
      </c>
      <c r="K44" s="1587">
        <f t="shared" si="7"/>
        <v>0</v>
      </c>
      <c r="L44" s="1587">
        <f t="shared" si="1"/>
        <v>0</v>
      </c>
      <c r="M44" s="1586">
        <f t="shared" si="2"/>
        <v>0</v>
      </c>
      <c r="N44" s="1543">
        <f t="shared" si="3"/>
        <v>0</v>
      </c>
      <c r="O44" s="1587">
        <f t="shared" si="4"/>
        <v>0</v>
      </c>
      <c r="P44" s="1587">
        <v>0</v>
      </c>
      <c r="Q44" s="1587">
        <v>0</v>
      </c>
      <c r="R44" s="1588"/>
      <c r="S44" s="1545"/>
    </row>
    <row r="45" spans="1:19" ht="19.5" customHeight="1">
      <c r="A45" s="1589" t="s">
        <v>3370</v>
      </c>
      <c r="B45" s="1561" t="s">
        <v>3371</v>
      </c>
      <c r="C45" s="1590"/>
      <c r="D45" s="1591" t="s">
        <v>3372</v>
      </c>
      <c r="E45" s="1513">
        <v>15000</v>
      </c>
      <c r="F45" s="1514">
        <v>15000</v>
      </c>
      <c r="G45" s="1522">
        <v>0</v>
      </c>
      <c r="H45" s="1514">
        <f t="shared" si="6"/>
        <v>15000</v>
      </c>
      <c r="I45" s="1512">
        <v>15835000</v>
      </c>
      <c r="J45" s="1511">
        <v>15000</v>
      </c>
      <c r="K45" s="1512">
        <f t="shared" si="7"/>
        <v>15850000</v>
      </c>
      <c r="L45" s="1512">
        <f t="shared" si="1"/>
        <v>15820000</v>
      </c>
      <c r="M45" s="1515">
        <f t="shared" si="2"/>
        <v>15835000</v>
      </c>
      <c r="N45" s="1516">
        <f t="shared" si="3"/>
        <v>15820000</v>
      </c>
      <c r="O45" s="1512">
        <f t="shared" si="4"/>
        <v>15835000</v>
      </c>
      <c r="P45" s="1511">
        <v>0</v>
      </c>
      <c r="Q45" s="1512">
        <v>0</v>
      </c>
      <c r="R45" s="1517"/>
      <c r="S45" s="1625"/>
    </row>
    <row r="46" spans="1:19" ht="19.5" customHeight="1">
      <c r="A46" s="1560"/>
      <c r="B46" s="1592"/>
      <c r="C46" s="1593" t="s">
        <v>3352</v>
      </c>
      <c r="D46" s="1594"/>
      <c r="E46" s="1522">
        <v>0</v>
      </c>
      <c r="F46" s="1563">
        <v>0</v>
      </c>
      <c r="G46" s="1563">
        <v>0</v>
      </c>
      <c r="H46" s="1523">
        <f t="shared" si="6"/>
        <v>0</v>
      </c>
      <c r="I46" s="1523">
        <v>0</v>
      </c>
      <c r="J46" s="1521">
        <v>0</v>
      </c>
      <c r="K46" s="1536">
        <f t="shared" si="7"/>
        <v>0</v>
      </c>
      <c r="L46" s="1536">
        <f t="shared" si="1"/>
        <v>0</v>
      </c>
      <c r="M46" s="1535">
        <f t="shared" si="2"/>
        <v>0</v>
      </c>
      <c r="N46" s="1523">
        <f t="shared" si="3"/>
        <v>0</v>
      </c>
      <c r="O46" s="1536">
        <f t="shared" si="4"/>
        <v>0</v>
      </c>
      <c r="P46" s="1544"/>
      <c r="Q46" s="1536">
        <v>0</v>
      </c>
      <c r="R46" s="1529"/>
      <c r="S46" s="1529"/>
    </row>
    <row r="47" spans="1:19" ht="19.5" customHeight="1">
      <c r="A47" s="1552"/>
      <c r="B47" s="1520"/>
      <c r="C47" s="1593" t="s">
        <v>3373</v>
      </c>
      <c r="D47" s="1520"/>
      <c r="E47" s="1535">
        <v>0</v>
      </c>
      <c r="F47" s="1524">
        <v>0</v>
      </c>
      <c r="G47" s="1563">
        <v>0</v>
      </c>
      <c r="H47" s="1523">
        <f t="shared" si="6"/>
        <v>0</v>
      </c>
      <c r="I47" s="1523">
        <v>15835000</v>
      </c>
      <c r="J47" s="1521">
        <v>0</v>
      </c>
      <c r="K47" s="1533">
        <f t="shared" si="7"/>
        <v>15835000</v>
      </c>
      <c r="L47" s="1533">
        <f t="shared" si="1"/>
        <v>15835000</v>
      </c>
      <c r="M47" s="1534">
        <f t="shared" si="2"/>
        <v>15835000</v>
      </c>
      <c r="N47" s="1566">
        <f t="shared" si="3"/>
        <v>15835000</v>
      </c>
      <c r="O47" s="1533">
        <f t="shared" si="4"/>
        <v>15835000</v>
      </c>
      <c r="P47" s="1544">
        <v>0</v>
      </c>
      <c r="Q47" s="1533">
        <v>0</v>
      </c>
      <c r="R47" s="1529"/>
      <c r="S47" s="1529"/>
    </row>
    <row r="48" spans="1:19" ht="19.5" customHeight="1" thickBot="1">
      <c r="A48" s="1554"/>
      <c r="B48" s="1542"/>
      <c r="C48" s="1595" t="s">
        <v>3374</v>
      </c>
      <c r="D48" s="1581"/>
      <c r="E48" s="1586">
        <v>15000</v>
      </c>
      <c r="F48" s="1600">
        <v>15000</v>
      </c>
      <c r="G48" s="1543">
        <v>0</v>
      </c>
      <c r="H48" s="1543">
        <f t="shared" si="6"/>
        <v>15000</v>
      </c>
      <c r="I48" s="1587">
        <v>0</v>
      </c>
      <c r="J48" s="1587">
        <v>15000</v>
      </c>
      <c r="K48" s="1587">
        <f t="shared" si="7"/>
        <v>15000</v>
      </c>
      <c r="L48" s="1587">
        <f t="shared" si="1"/>
        <v>-15000</v>
      </c>
      <c r="M48" s="1586">
        <f t="shared" si="2"/>
        <v>0</v>
      </c>
      <c r="N48" s="1543">
        <f t="shared" si="3"/>
        <v>-15000</v>
      </c>
      <c r="O48" s="1587">
        <f t="shared" si="4"/>
        <v>0</v>
      </c>
      <c r="P48" s="1543">
        <v>0</v>
      </c>
      <c r="Q48" s="1587">
        <v>0</v>
      </c>
      <c r="R48" s="1545"/>
      <c r="S48" s="1545"/>
    </row>
    <row r="49" spans="1:19" ht="19.5" customHeight="1">
      <c r="A49" s="1560" t="s">
        <v>3356</v>
      </c>
      <c r="B49" s="1597" t="s">
        <v>3375</v>
      </c>
      <c r="C49" s="1578"/>
      <c r="D49" s="1510" t="s">
        <v>3358</v>
      </c>
      <c r="E49" s="1513">
        <v>18600000</v>
      </c>
      <c r="F49" s="1598">
        <v>41526000</v>
      </c>
      <c r="G49" s="1514">
        <v>0</v>
      </c>
      <c r="H49" s="1514">
        <f t="shared" si="6"/>
        <v>41526000</v>
      </c>
      <c r="I49" s="1511">
        <v>24275216.64</v>
      </c>
      <c r="J49" s="1511">
        <v>17250105.51</v>
      </c>
      <c r="K49" s="1512">
        <f t="shared" si="7"/>
        <v>41525322.150000006</v>
      </c>
      <c r="L49" s="1512">
        <f t="shared" si="1"/>
        <v>-17250783.36</v>
      </c>
      <c r="M49" s="1515">
        <f t="shared" si="2"/>
        <v>-677.8499999940395</v>
      </c>
      <c r="N49" s="1516">
        <f t="shared" si="3"/>
        <v>-17250783.36</v>
      </c>
      <c r="O49" s="1512">
        <f t="shared" si="4"/>
        <v>-677.8499999940395</v>
      </c>
      <c r="P49" s="1512">
        <v>89101878</v>
      </c>
      <c r="Q49" s="1512">
        <f>SUM(I49/P49)*100</f>
        <v>27.244337812947105</v>
      </c>
      <c r="R49" s="1582"/>
      <c r="S49" s="1632"/>
    </row>
    <row r="50" spans="1:19" ht="19.5" customHeight="1">
      <c r="A50" s="1560" t="s">
        <v>3359</v>
      </c>
      <c r="B50" s="1562"/>
      <c r="C50" s="1557" t="s">
        <v>3352</v>
      </c>
      <c r="D50" s="1520"/>
      <c r="E50" s="1522">
        <v>18600000</v>
      </c>
      <c r="F50" s="1524">
        <v>39705000</v>
      </c>
      <c r="G50" s="1563">
        <v>0</v>
      </c>
      <c r="H50" s="1566">
        <f t="shared" si="6"/>
        <v>39705000</v>
      </c>
      <c r="I50" s="1544">
        <v>22761398.2</v>
      </c>
      <c r="J50" s="1563">
        <v>16942925.7</v>
      </c>
      <c r="K50" s="1523">
        <f t="shared" si="7"/>
        <v>39704323.9</v>
      </c>
      <c r="L50" s="1536">
        <f t="shared" si="1"/>
        <v>-16943601.8</v>
      </c>
      <c r="M50" s="1535">
        <f t="shared" si="2"/>
        <v>-676.1000000014901</v>
      </c>
      <c r="N50" s="1558">
        <f t="shared" si="3"/>
        <v>-16943601.8</v>
      </c>
      <c r="O50" s="1536">
        <f t="shared" si="4"/>
        <v>-676.1000000014901</v>
      </c>
      <c r="P50" s="1523">
        <v>0</v>
      </c>
      <c r="Q50" s="1536">
        <v>0</v>
      </c>
      <c r="R50" s="1567"/>
      <c r="S50" s="1567"/>
    </row>
    <row r="51" spans="1:19" ht="19.5" customHeight="1">
      <c r="A51" s="1564"/>
      <c r="B51" s="1565"/>
      <c r="C51" s="1559" t="s">
        <v>3353</v>
      </c>
      <c r="D51" s="1532"/>
      <c r="E51" s="1534">
        <v>0</v>
      </c>
      <c r="F51" s="1599">
        <v>1821000</v>
      </c>
      <c r="G51" s="1563">
        <v>0</v>
      </c>
      <c r="H51" s="1525">
        <f t="shared" si="6"/>
        <v>1821000</v>
      </c>
      <c r="I51" s="1566">
        <v>1513818.44</v>
      </c>
      <c r="J51" s="1599">
        <v>307179.81</v>
      </c>
      <c r="K51" s="1544">
        <f t="shared" si="7"/>
        <v>1820998.25</v>
      </c>
      <c r="L51" s="1533">
        <f t="shared" si="1"/>
        <v>-307181.56000000006</v>
      </c>
      <c r="M51" s="1534">
        <f t="shared" si="2"/>
        <v>-1.75</v>
      </c>
      <c r="N51" s="1544">
        <f t="shared" si="3"/>
        <v>-307181.56000000006</v>
      </c>
      <c r="O51" s="1533">
        <f t="shared" si="4"/>
        <v>-1.75</v>
      </c>
      <c r="P51" s="1544">
        <v>0</v>
      </c>
      <c r="Q51" s="1533">
        <v>0</v>
      </c>
      <c r="R51" s="1529"/>
      <c r="S51" s="1529"/>
    </row>
    <row r="52" spans="1:19" ht="19.5" customHeight="1" thickBot="1">
      <c r="A52" s="1583"/>
      <c r="B52" s="1577"/>
      <c r="C52" s="1585" t="s">
        <v>2600</v>
      </c>
      <c r="D52" s="1542"/>
      <c r="E52" s="1586">
        <v>0</v>
      </c>
      <c r="F52" s="1600">
        <v>0</v>
      </c>
      <c r="G52" s="1543">
        <v>0</v>
      </c>
      <c r="H52" s="1543">
        <f t="shared" si="6"/>
        <v>0</v>
      </c>
      <c r="I52" s="1587">
        <v>0</v>
      </c>
      <c r="J52" s="1587"/>
      <c r="K52" s="1587">
        <f t="shared" si="7"/>
        <v>0</v>
      </c>
      <c r="L52" s="1587">
        <f t="shared" si="1"/>
        <v>0</v>
      </c>
      <c r="M52" s="1586">
        <f t="shared" si="2"/>
        <v>0</v>
      </c>
      <c r="N52" s="1543">
        <f t="shared" si="3"/>
        <v>0</v>
      </c>
      <c r="O52" s="1587">
        <f t="shared" si="4"/>
        <v>0</v>
      </c>
      <c r="P52" s="1587">
        <v>0</v>
      </c>
      <c r="Q52" s="1587">
        <v>0</v>
      </c>
      <c r="R52" s="1588"/>
      <c r="S52" s="1588"/>
    </row>
    <row r="53" spans="1:19" ht="19.5" customHeight="1">
      <c r="A53" s="1560" t="s">
        <v>3356</v>
      </c>
      <c r="B53" s="1646" t="s">
        <v>3376</v>
      </c>
      <c r="C53" s="1578"/>
      <c r="D53" s="1579" t="s">
        <v>3358</v>
      </c>
      <c r="E53" s="1522">
        <v>6460000</v>
      </c>
      <c r="F53" s="1563">
        <v>18581000</v>
      </c>
      <c r="G53" s="1544">
        <v>0</v>
      </c>
      <c r="H53" s="1544">
        <f t="shared" si="6"/>
        <v>18581000</v>
      </c>
      <c r="I53" s="1521">
        <v>10108297.42</v>
      </c>
      <c r="J53" s="1521">
        <v>8472702.58</v>
      </c>
      <c r="K53" s="1521">
        <f t="shared" si="7"/>
        <v>18581000</v>
      </c>
      <c r="L53" s="1521">
        <f t="shared" si="1"/>
        <v>-8472702.58</v>
      </c>
      <c r="M53" s="1522">
        <f t="shared" si="2"/>
        <v>0</v>
      </c>
      <c r="N53" s="1544">
        <f t="shared" si="3"/>
        <v>-8472702.58</v>
      </c>
      <c r="O53" s="1521">
        <f t="shared" si="4"/>
        <v>0</v>
      </c>
      <c r="P53" s="1521">
        <v>38495448</v>
      </c>
      <c r="Q53" s="1521">
        <f>SUM(I53/P53)*100</f>
        <v>26.258422606226066</v>
      </c>
      <c r="R53" s="1528"/>
      <c r="S53" s="1528"/>
    </row>
    <row r="54" spans="1:19" ht="19.5" customHeight="1">
      <c r="A54" s="1560" t="s">
        <v>3359</v>
      </c>
      <c r="B54" s="1562"/>
      <c r="C54" s="1557" t="s">
        <v>3352</v>
      </c>
      <c r="D54" s="1520"/>
      <c r="E54" s="1522">
        <v>0</v>
      </c>
      <c r="F54" s="1524">
        <v>11990000</v>
      </c>
      <c r="G54" s="1563">
        <v>0</v>
      </c>
      <c r="H54" s="1523">
        <v>11990000</v>
      </c>
      <c r="I54" s="1544">
        <v>3532742.38</v>
      </c>
      <c r="J54" s="1544">
        <v>8457257.62</v>
      </c>
      <c r="K54" s="1563">
        <f t="shared" si="7"/>
        <v>11990000</v>
      </c>
      <c r="L54" s="1525">
        <f t="shared" si="1"/>
        <v>-8457257.620000001</v>
      </c>
      <c r="M54" s="1535">
        <f t="shared" si="2"/>
        <v>0</v>
      </c>
      <c r="N54" s="1523">
        <f t="shared" si="3"/>
        <v>-8457257.620000001</v>
      </c>
      <c r="O54" s="1536">
        <f t="shared" si="4"/>
        <v>0</v>
      </c>
      <c r="P54" s="1521">
        <v>0</v>
      </c>
      <c r="Q54" s="1536">
        <v>0</v>
      </c>
      <c r="R54" s="1529"/>
      <c r="S54" s="1529"/>
    </row>
    <row r="55" spans="1:19" ht="19.5" customHeight="1">
      <c r="A55" s="1564"/>
      <c r="B55" s="1601"/>
      <c r="C55" s="1559" t="s">
        <v>3353</v>
      </c>
      <c r="D55" s="1532"/>
      <c r="E55" s="1534">
        <v>6460000</v>
      </c>
      <c r="F55" s="1599">
        <v>6591000</v>
      </c>
      <c r="G55" s="1563">
        <v>0</v>
      </c>
      <c r="H55" s="1525">
        <v>6591000</v>
      </c>
      <c r="I55" s="1566">
        <v>6575555.04</v>
      </c>
      <c r="J55" s="1566">
        <v>15444.96</v>
      </c>
      <c r="K55" s="1563">
        <f t="shared" si="7"/>
        <v>6591000</v>
      </c>
      <c r="L55" s="1523">
        <f t="shared" si="1"/>
        <v>-15444.959999999963</v>
      </c>
      <c r="M55" s="1534">
        <f t="shared" si="2"/>
        <v>0</v>
      </c>
      <c r="N55" s="1544">
        <f t="shared" si="3"/>
        <v>-15444.959999999963</v>
      </c>
      <c r="O55" s="1536">
        <f t="shared" si="4"/>
        <v>0</v>
      </c>
      <c r="P55" s="1533">
        <v>0</v>
      </c>
      <c r="Q55" s="1533">
        <v>0</v>
      </c>
      <c r="R55" s="1539"/>
      <c r="S55" s="1539"/>
    </row>
    <row r="56" spans="1:19" ht="19.5" customHeight="1" thickBot="1">
      <c r="A56" s="1583"/>
      <c r="B56" s="1577"/>
      <c r="C56" s="1585" t="s">
        <v>2600</v>
      </c>
      <c r="D56" s="1542"/>
      <c r="E56" s="1586">
        <v>0</v>
      </c>
      <c r="F56" s="1600">
        <v>0</v>
      </c>
      <c r="G56" s="1543">
        <v>0</v>
      </c>
      <c r="H56" s="1543">
        <f aca="true" t="shared" si="8" ref="H56:H76">SUM(F56+G56)</f>
        <v>0</v>
      </c>
      <c r="I56" s="1587">
        <v>0</v>
      </c>
      <c r="J56" s="1587">
        <v>0</v>
      </c>
      <c r="K56" s="1587">
        <f t="shared" si="7"/>
        <v>0</v>
      </c>
      <c r="L56" s="1587">
        <f t="shared" si="1"/>
        <v>0</v>
      </c>
      <c r="M56" s="1586">
        <f t="shared" si="2"/>
        <v>0</v>
      </c>
      <c r="N56" s="1543"/>
      <c r="O56" s="1587">
        <f t="shared" si="4"/>
        <v>0</v>
      </c>
      <c r="P56" s="1587">
        <v>0</v>
      </c>
      <c r="Q56" s="1587">
        <v>0</v>
      </c>
      <c r="R56" s="1588"/>
      <c r="S56" s="1588"/>
    </row>
    <row r="57" spans="1:19" ht="19.5" customHeight="1">
      <c r="A57" s="1560" t="s">
        <v>3359</v>
      </c>
      <c r="B57" s="1647" t="s">
        <v>3377</v>
      </c>
      <c r="C57" s="1578"/>
      <c r="D57" s="1579" t="s">
        <v>3361</v>
      </c>
      <c r="E57" s="1522">
        <v>9450000</v>
      </c>
      <c r="F57" s="1544">
        <v>11699000</v>
      </c>
      <c r="G57" s="1522">
        <v>0</v>
      </c>
      <c r="H57" s="1544">
        <f t="shared" si="8"/>
        <v>11699000</v>
      </c>
      <c r="I57" s="1521">
        <v>9949060.3</v>
      </c>
      <c r="J57" s="1521">
        <v>1749939</v>
      </c>
      <c r="K57" s="1521">
        <f t="shared" si="7"/>
        <v>11698999.3</v>
      </c>
      <c r="L57" s="1521">
        <f>SUM(J57+K57)</f>
        <v>13448938.3</v>
      </c>
      <c r="M57" s="1522">
        <f>SUM(K57+L57)</f>
        <v>25147937.6</v>
      </c>
      <c r="N57" s="1544">
        <f>SUM(L57+M57)</f>
        <v>38596875.900000006</v>
      </c>
      <c r="O57" s="1521">
        <f t="shared" si="4"/>
        <v>-0.6999999992549419</v>
      </c>
      <c r="P57" s="1521">
        <v>0</v>
      </c>
      <c r="Q57" s="1521">
        <v>0</v>
      </c>
      <c r="R57" s="1528"/>
      <c r="S57" s="1528"/>
    </row>
    <row r="58" spans="1:19" ht="19.5" customHeight="1">
      <c r="A58" s="1560"/>
      <c r="B58" s="1562"/>
      <c r="C58" s="1557" t="s">
        <v>3352</v>
      </c>
      <c r="D58" s="1520" t="s">
        <v>3362</v>
      </c>
      <c r="E58" s="1522">
        <v>9450000</v>
      </c>
      <c r="F58" s="1524">
        <v>11699000</v>
      </c>
      <c r="G58" s="1563">
        <v>0</v>
      </c>
      <c r="H58" s="1523">
        <f t="shared" si="8"/>
        <v>11699000</v>
      </c>
      <c r="I58" s="1544">
        <v>9949060.3</v>
      </c>
      <c r="J58" s="1544">
        <v>1749939</v>
      </c>
      <c r="K58" s="1563">
        <f aca="true" t="shared" si="9" ref="K58:N73">SUM(I58+J58)</f>
        <v>11698999.3</v>
      </c>
      <c r="L58" s="1563">
        <f t="shared" si="9"/>
        <v>13448938.3</v>
      </c>
      <c r="M58" s="1563">
        <f t="shared" si="9"/>
        <v>25147937.6</v>
      </c>
      <c r="N58" s="1563">
        <f t="shared" si="9"/>
        <v>38596875.900000006</v>
      </c>
      <c r="O58" s="1523">
        <f t="shared" si="4"/>
        <v>-0.6999999992549419</v>
      </c>
      <c r="P58" s="1544">
        <v>0</v>
      </c>
      <c r="Q58" s="1536">
        <v>0</v>
      </c>
      <c r="R58" s="1529"/>
      <c r="S58" s="1529"/>
    </row>
    <row r="59" spans="1:19" ht="19.5" customHeight="1">
      <c r="A59" s="1560"/>
      <c r="B59" s="1565"/>
      <c r="C59" s="1559" t="s">
        <v>3353</v>
      </c>
      <c r="D59" s="1532"/>
      <c r="E59" s="1534">
        <v>0</v>
      </c>
      <c r="F59" s="1599">
        <v>0</v>
      </c>
      <c r="G59" s="1563">
        <v>0</v>
      </c>
      <c r="H59" s="1525">
        <f t="shared" si="8"/>
        <v>0</v>
      </c>
      <c r="I59" s="1566">
        <v>0</v>
      </c>
      <c r="J59" s="1599">
        <v>0</v>
      </c>
      <c r="K59" s="1523">
        <f t="shared" si="9"/>
        <v>0</v>
      </c>
      <c r="L59" s="1523">
        <f t="shared" si="9"/>
        <v>0</v>
      </c>
      <c r="M59" s="1524">
        <f t="shared" si="9"/>
        <v>0</v>
      </c>
      <c r="N59" s="1523">
        <f t="shared" si="9"/>
        <v>0</v>
      </c>
      <c r="O59" s="1536">
        <f t="shared" si="4"/>
        <v>0</v>
      </c>
      <c r="P59" s="1566">
        <v>0</v>
      </c>
      <c r="Q59" s="1533">
        <v>0</v>
      </c>
      <c r="R59" s="1539"/>
      <c r="S59" s="1539"/>
    </row>
    <row r="60" spans="1:19" ht="19.5" customHeight="1" thickBot="1">
      <c r="A60" s="1564"/>
      <c r="B60" s="1565"/>
      <c r="C60" s="1585" t="s">
        <v>2600</v>
      </c>
      <c r="D60" s="1542"/>
      <c r="E60" s="1586">
        <v>0</v>
      </c>
      <c r="F60" s="1600">
        <v>0</v>
      </c>
      <c r="G60" s="1543">
        <v>0</v>
      </c>
      <c r="H60" s="1543">
        <f t="shared" si="8"/>
        <v>0</v>
      </c>
      <c r="I60" s="1586">
        <v>0</v>
      </c>
      <c r="J60" s="1600">
        <v>0</v>
      </c>
      <c r="K60" s="1566">
        <f t="shared" si="9"/>
        <v>0</v>
      </c>
      <c r="L60" s="1566">
        <f t="shared" si="9"/>
        <v>0</v>
      </c>
      <c r="M60" s="1599">
        <f t="shared" si="9"/>
        <v>0</v>
      </c>
      <c r="N60" s="1543">
        <f t="shared" si="9"/>
        <v>0</v>
      </c>
      <c r="O60" s="1536">
        <f t="shared" si="4"/>
        <v>0</v>
      </c>
      <c r="P60" s="1587">
        <v>0</v>
      </c>
      <c r="Q60" s="1587">
        <v>0</v>
      </c>
      <c r="R60" s="1588"/>
      <c r="S60" s="1588"/>
    </row>
    <row r="61" spans="1:19" ht="19.5" customHeight="1">
      <c r="A61" s="1571"/>
      <c r="B61" s="1602" t="s">
        <v>3378</v>
      </c>
      <c r="C61" s="1556"/>
      <c r="D61" s="1510" t="s">
        <v>3379</v>
      </c>
      <c r="E61" s="1513">
        <v>2600000</v>
      </c>
      <c r="F61" s="1580">
        <v>2600000</v>
      </c>
      <c r="G61" s="1514">
        <v>150000</v>
      </c>
      <c r="H61" s="1514">
        <f t="shared" si="8"/>
        <v>2750000</v>
      </c>
      <c r="I61" s="1513">
        <v>2749046.5</v>
      </c>
      <c r="J61" s="1514">
        <v>953.5</v>
      </c>
      <c r="K61" s="1512">
        <f t="shared" si="9"/>
        <v>2750000</v>
      </c>
      <c r="L61" s="1511">
        <f t="shared" si="9"/>
        <v>2750953.5</v>
      </c>
      <c r="M61" s="1513">
        <f t="shared" si="9"/>
        <v>5500953.5</v>
      </c>
      <c r="N61" s="1566">
        <f aca="true" t="shared" si="10" ref="N61:N72">SUM(I61-H61)</f>
        <v>-953.5</v>
      </c>
      <c r="O61" s="1512">
        <f t="shared" si="4"/>
        <v>0</v>
      </c>
      <c r="P61" s="1512">
        <v>1170000</v>
      </c>
      <c r="Q61" s="1512">
        <f>SUM(I61/P61)*100</f>
        <v>234.96123931623933</v>
      </c>
      <c r="R61" s="1517"/>
      <c r="S61" s="1517"/>
    </row>
    <row r="62" spans="1:19" ht="19.5" customHeight="1">
      <c r="A62" s="1552"/>
      <c r="B62" s="1549"/>
      <c r="C62" s="1557" t="s">
        <v>3352</v>
      </c>
      <c r="D62" s="1520"/>
      <c r="E62" s="1522">
        <v>0</v>
      </c>
      <c r="F62" s="1524">
        <v>0</v>
      </c>
      <c r="G62" s="1544">
        <v>0</v>
      </c>
      <c r="H62" s="1523">
        <f t="shared" si="8"/>
        <v>0</v>
      </c>
      <c r="I62" s="1522">
        <v>0</v>
      </c>
      <c r="J62" s="1544">
        <v>0</v>
      </c>
      <c r="K62" s="1523">
        <f t="shared" si="9"/>
        <v>0</v>
      </c>
      <c r="L62" s="1563">
        <f t="shared" si="9"/>
        <v>0</v>
      </c>
      <c r="M62" s="1563">
        <f t="shared" si="9"/>
        <v>0</v>
      </c>
      <c r="N62" s="1523">
        <f t="shared" si="10"/>
        <v>0</v>
      </c>
      <c r="O62" s="1523">
        <f t="shared" si="4"/>
        <v>0</v>
      </c>
      <c r="P62" s="1523">
        <v>0</v>
      </c>
      <c r="Q62" s="1536">
        <v>0</v>
      </c>
      <c r="R62" s="1529"/>
      <c r="S62" s="1529"/>
    </row>
    <row r="63" spans="1:19" ht="19.5" customHeight="1">
      <c r="A63" s="1552"/>
      <c r="B63" s="1549"/>
      <c r="C63" s="1559" t="s">
        <v>3353</v>
      </c>
      <c r="D63" s="1520"/>
      <c r="E63" s="1523">
        <v>0</v>
      </c>
      <c r="F63" s="1524">
        <v>0</v>
      </c>
      <c r="G63" s="1523">
        <v>0</v>
      </c>
      <c r="H63" s="1523">
        <f t="shared" si="8"/>
        <v>0</v>
      </c>
      <c r="I63" s="1534">
        <v>0</v>
      </c>
      <c r="J63" s="1544">
        <v>0</v>
      </c>
      <c r="K63" s="1523">
        <f t="shared" si="9"/>
        <v>0</v>
      </c>
      <c r="L63" s="1523">
        <f t="shared" si="9"/>
        <v>0</v>
      </c>
      <c r="M63" s="1524">
        <f t="shared" si="9"/>
        <v>0</v>
      </c>
      <c r="N63" s="1523">
        <f t="shared" si="10"/>
        <v>0</v>
      </c>
      <c r="O63" s="1523">
        <f t="shared" si="4"/>
        <v>0</v>
      </c>
      <c r="P63" s="1523">
        <v>0</v>
      </c>
      <c r="Q63" s="1533">
        <v>0</v>
      </c>
      <c r="R63" s="1529"/>
      <c r="S63" s="1529"/>
    </row>
    <row r="64" spans="1:19" ht="19.5" customHeight="1" thickBot="1">
      <c r="A64" s="1554"/>
      <c r="B64" s="1574"/>
      <c r="C64" s="1603" t="s">
        <v>2600</v>
      </c>
      <c r="D64" s="1604"/>
      <c r="E64" s="1596">
        <v>2600000</v>
      </c>
      <c r="F64" s="1600">
        <v>2600000</v>
      </c>
      <c r="G64" s="1568">
        <v>150000</v>
      </c>
      <c r="H64" s="1543">
        <f t="shared" si="8"/>
        <v>2750000</v>
      </c>
      <c r="I64" s="1526">
        <v>2749046.5</v>
      </c>
      <c r="J64" s="1544">
        <v>953.5</v>
      </c>
      <c r="K64" s="1533">
        <f t="shared" si="9"/>
        <v>2750000</v>
      </c>
      <c r="L64" s="1566">
        <f t="shared" si="9"/>
        <v>2750953.5</v>
      </c>
      <c r="M64" s="1599">
        <f t="shared" si="9"/>
        <v>5500953.5</v>
      </c>
      <c r="N64" s="1544">
        <f t="shared" si="10"/>
        <v>-953.5</v>
      </c>
      <c r="O64" s="1521">
        <f t="shared" si="4"/>
        <v>0</v>
      </c>
      <c r="P64" s="1521">
        <v>1170003</v>
      </c>
      <c r="Q64" s="1587">
        <f>SUM(I64/P64)*100</f>
        <v>234.96063685306788</v>
      </c>
      <c r="R64" s="1570"/>
      <c r="S64" s="1570"/>
    </row>
    <row r="65" spans="1:19" ht="19.5" customHeight="1">
      <c r="A65" s="1560" t="s">
        <v>3359</v>
      </c>
      <c r="B65" s="1605" t="s">
        <v>3380</v>
      </c>
      <c r="C65" s="1556"/>
      <c r="D65" s="1510" t="s">
        <v>3361</v>
      </c>
      <c r="E65" s="1511">
        <v>3130000</v>
      </c>
      <c r="F65" s="1521">
        <v>3130000</v>
      </c>
      <c r="G65" s="1511">
        <v>0</v>
      </c>
      <c r="H65" s="1514">
        <f t="shared" si="8"/>
        <v>3130000</v>
      </c>
      <c r="I65" s="1514">
        <v>3092915</v>
      </c>
      <c r="J65" s="1606">
        <v>37000</v>
      </c>
      <c r="K65" s="1514">
        <f t="shared" si="9"/>
        <v>3129915</v>
      </c>
      <c r="L65" s="1514">
        <f aca="true" t="shared" si="11" ref="L65:L76">SUM(I65-F65)</f>
        <v>-37085</v>
      </c>
      <c r="M65" s="1513">
        <f t="shared" si="9"/>
        <v>3092830</v>
      </c>
      <c r="N65" s="1514">
        <f t="shared" si="10"/>
        <v>-37085</v>
      </c>
      <c r="O65" s="1514">
        <f t="shared" si="4"/>
        <v>-85</v>
      </c>
      <c r="P65" s="1511">
        <v>0</v>
      </c>
      <c r="Q65" s="1512">
        <v>0</v>
      </c>
      <c r="R65" s="1517"/>
      <c r="S65" s="1517"/>
    </row>
    <row r="66" spans="1:19" ht="19.5" customHeight="1">
      <c r="A66" s="1560"/>
      <c r="B66" s="1607"/>
      <c r="C66" s="1557" t="s">
        <v>3352</v>
      </c>
      <c r="D66" s="1520" t="s">
        <v>3362</v>
      </c>
      <c r="E66" s="1521">
        <v>3130000</v>
      </c>
      <c r="F66" s="1521">
        <v>3130000</v>
      </c>
      <c r="G66" s="1544">
        <v>0</v>
      </c>
      <c r="H66" s="1523">
        <f t="shared" si="8"/>
        <v>3130000</v>
      </c>
      <c r="I66" s="1521">
        <v>3092915</v>
      </c>
      <c r="J66" s="1608">
        <v>37000</v>
      </c>
      <c r="K66" s="1523">
        <f t="shared" si="9"/>
        <v>3129915</v>
      </c>
      <c r="L66" s="1536">
        <f t="shared" si="11"/>
        <v>-37085</v>
      </c>
      <c r="M66" s="1563">
        <f t="shared" si="9"/>
        <v>3092830</v>
      </c>
      <c r="N66" s="1523">
        <f t="shared" si="10"/>
        <v>-37085</v>
      </c>
      <c r="O66" s="1537">
        <f t="shared" si="4"/>
        <v>-85</v>
      </c>
      <c r="P66" s="1544">
        <v>0</v>
      </c>
      <c r="Q66" s="1536">
        <v>0</v>
      </c>
      <c r="R66" s="1529"/>
      <c r="S66" s="1529"/>
    </row>
    <row r="67" spans="1:19" ht="19.5" customHeight="1">
      <c r="A67" s="1560"/>
      <c r="B67" s="1607"/>
      <c r="C67" s="1559" t="s">
        <v>3353</v>
      </c>
      <c r="D67" s="1532"/>
      <c r="E67" s="1533">
        <v>0</v>
      </c>
      <c r="F67" s="1566">
        <v>0</v>
      </c>
      <c r="G67" s="1566">
        <v>0</v>
      </c>
      <c r="H67" s="1525">
        <f t="shared" si="8"/>
        <v>0</v>
      </c>
      <c r="I67" s="1566">
        <v>0</v>
      </c>
      <c r="J67" s="1523">
        <v>0</v>
      </c>
      <c r="K67" s="1535">
        <f t="shared" si="9"/>
        <v>0</v>
      </c>
      <c r="L67" s="1523">
        <f t="shared" si="11"/>
        <v>0</v>
      </c>
      <c r="M67" s="1524">
        <f t="shared" si="9"/>
        <v>0</v>
      </c>
      <c r="N67" s="1566">
        <f t="shared" si="10"/>
        <v>0</v>
      </c>
      <c r="O67" s="1537">
        <f t="shared" si="4"/>
        <v>0</v>
      </c>
      <c r="P67" s="1566">
        <v>0</v>
      </c>
      <c r="Q67" s="1533">
        <v>0</v>
      </c>
      <c r="R67" s="1539"/>
      <c r="S67" s="1539"/>
    </row>
    <row r="68" spans="1:19" ht="19.5" customHeight="1" thickBot="1">
      <c r="A68" s="1564"/>
      <c r="B68" s="1609"/>
      <c r="C68" s="1610" t="s">
        <v>2600</v>
      </c>
      <c r="D68" s="1542"/>
      <c r="E68" s="1587">
        <v>0</v>
      </c>
      <c r="F68" s="1587">
        <v>0</v>
      </c>
      <c r="G68" s="1587">
        <v>0</v>
      </c>
      <c r="H68" s="1543">
        <f t="shared" si="8"/>
        <v>0</v>
      </c>
      <c r="I68" s="1587">
        <v>0</v>
      </c>
      <c r="J68" s="1543">
        <v>0</v>
      </c>
      <c r="K68" s="1566">
        <f t="shared" si="9"/>
        <v>0</v>
      </c>
      <c r="L68" s="1543">
        <f t="shared" si="11"/>
        <v>0</v>
      </c>
      <c r="M68" s="1599">
        <f t="shared" si="9"/>
        <v>0</v>
      </c>
      <c r="N68" s="1543">
        <f t="shared" si="10"/>
        <v>0</v>
      </c>
      <c r="O68" s="1543">
        <f t="shared" si="4"/>
        <v>0</v>
      </c>
      <c r="P68" s="1587">
        <v>0</v>
      </c>
      <c r="Q68" s="1587">
        <v>0</v>
      </c>
      <c r="R68" s="1588"/>
      <c r="S68" s="1588"/>
    </row>
    <row r="69" spans="1:19" ht="19.5" customHeight="1">
      <c r="A69" s="1589" t="s">
        <v>3359</v>
      </c>
      <c r="B69" s="1611" t="s">
        <v>3381</v>
      </c>
      <c r="C69" s="1578"/>
      <c r="D69" s="1579" t="s">
        <v>3382</v>
      </c>
      <c r="E69" s="1521">
        <v>6259000</v>
      </c>
      <c r="F69" s="1533">
        <v>6259000</v>
      </c>
      <c r="G69" s="1511">
        <v>0</v>
      </c>
      <c r="H69" s="1544">
        <f t="shared" si="8"/>
        <v>6259000</v>
      </c>
      <c r="I69" s="1544">
        <v>6198000</v>
      </c>
      <c r="J69" s="1521">
        <v>61000</v>
      </c>
      <c r="K69" s="1514">
        <f t="shared" si="9"/>
        <v>6259000</v>
      </c>
      <c r="L69" s="1521">
        <f t="shared" si="11"/>
        <v>-61000</v>
      </c>
      <c r="M69" s="1513">
        <f t="shared" si="9"/>
        <v>6198000</v>
      </c>
      <c r="N69" s="1544">
        <f t="shared" si="10"/>
        <v>-61000</v>
      </c>
      <c r="O69" s="1514">
        <f t="shared" si="4"/>
        <v>0</v>
      </c>
      <c r="P69" s="1511">
        <v>0</v>
      </c>
      <c r="Q69" s="1512">
        <v>0</v>
      </c>
      <c r="R69" s="1528"/>
      <c r="S69" s="1528"/>
    </row>
    <row r="70" spans="1:19" ht="19.5" customHeight="1">
      <c r="A70" s="1564"/>
      <c r="B70" s="1607"/>
      <c r="C70" s="1557" t="s">
        <v>3352</v>
      </c>
      <c r="D70" s="1520" t="s">
        <v>3383</v>
      </c>
      <c r="E70" s="1533">
        <v>6259000</v>
      </c>
      <c r="F70" s="1523">
        <v>6259000</v>
      </c>
      <c r="G70" s="1544">
        <v>0</v>
      </c>
      <c r="H70" s="1523">
        <f t="shared" si="8"/>
        <v>6259000</v>
      </c>
      <c r="I70" s="1544">
        <v>6198000</v>
      </c>
      <c r="J70" s="1521">
        <v>61000</v>
      </c>
      <c r="K70" s="1523">
        <f t="shared" si="9"/>
        <v>6259000</v>
      </c>
      <c r="L70" s="1521">
        <f t="shared" si="11"/>
        <v>-61000</v>
      </c>
      <c r="M70" s="1563">
        <f t="shared" si="9"/>
        <v>6198000</v>
      </c>
      <c r="N70" s="1544">
        <f t="shared" si="10"/>
        <v>-61000</v>
      </c>
      <c r="O70" s="1521">
        <f t="shared" si="4"/>
        <v>0</v>
      </c>
      <c r="P70" s="1544">
        <v>0</v>
      </c>
      <c r="Q70" s="1536">
        <v>0</v>
      </c>
      <c r="R70" s="1539"/>
      <c r="S70" s="1539"/>
    </row>
    <row r="71" spans="1:19" ht="19.5" customHeight="1">
      <c r="A71" s="1552"/>
      <c r="B71" s="1612"/>
      <c r="C71" s="1559" t="s">
        <v>3353</v>
      </c>
      <c r="D71" s="1532" t="s">
        <v>3384</v>
      </c>
      <c r="E71" s="1527">
        <v>0</v>
      </c>
      <c r="F71" s="1527">
        <v>0</v>
      </c>
      <c r="G71" s="1566">
        <v>0</v>
      </c>
      <c r="H71" s="1525">
        <f t="shared" si="8"/>
        <v>0</v>
      </c>
      <c r="I71" s="1527">
        <v>0</v>
      </c>
      <c r="J71" s="1527">
        <v>0</v>
      </c>
      <c r="K71" s="1523">
        <f t="shared" si="9"/>
        <v>0</v>
      </c>
      <c r="L71" s="1521">
        <f t="shared" si="11"/>
        <v>0</v>
      </c>
      <c r="M71" s="1524">
        <f t="shared" si="9"/>
        <v>0</v>
      </c>
      <c r="N71" s="1544">
        <f t="shared" si="10"/>
        <v>0</v>
      </c>
      <c r="O71" s="1521">
        <f t="shared" si="4"/>
        <v>0</v>
      </c>
      <c r="P71" s="1566">
        <v>0</v>
      </c>
      <c r="Q71" s="1533">
        <v>0</v>
      </c>
      <c r="R71" s="1567"/>
      <c r="S71" s="1567"/>
    </row>
    <row r="72" spans="1:19" ht="19.5" customHeight="1" thickBot="1">
      <c r="A72" s="1564"/>
      <c r="B72" s="1613"/>
      <c r="C72" s="1610" t="s">
        <v>2600</v>
      </c>
      <c r="D72" s="1542"/>
      <c r="E72" s="1587">
        <v>0</v>
      </c>
      <c r="F72" s="1587">
        <v>0</v>
      </c>
      <c r="G72" s="1587">
        <v>0</v>
      </c>
      <c r="H72" s="1543">
        <f t="shared" si="8"/>
        <v>0</v>
      </c>
      <c r="I72" s="1587">
        <v>0</v>
      </c>
      <c r="J72" s="1587">
        <v>0</v>
      </c>
      <c r="K72" s="1543">
        <f t="shared" si="9"/>
        <v>0</v>
      </c>
      <c r="L72" s="1587">
        <f t="shared" si="11"/>
        <v>0</v>
      </c>
      <c r="M72" s="1599">
        <f t="shared" si="9"/>
        <v>0</v>
      </c>
      <c r="N72" s="1566">
        <f t="shared" si="10"/>
        <v>0</v>
      </c>
      <c r="O72" s="1533">
        <f t="shared" si="4"/>
        <v>0</v>
      </c>
      <c r="P72" s="1587">
        <v>0</v>
      </c>
      <c r="Q72" s="1587">
        <v>0</v>
      </c>
      <c r="R72" s="1588"/>
      <c r="S72" s="1588"/>
    </row>
    <row r="73" spans="1:19" ht="19.5" customHeight="1">
      <c r="A73" s="1589" t="s">
        <v>3356</v>
      </c>
      <c r="B73" s="1605" t="s">
        <v>3385</v>
      </c>
      <c r="C73" s="1556"/>
      <c r="D73" s="1510" t="s">
        <v>3358</v>
      </c>
      <c r="E73" s="1511">
        <v>30297000</v>
      </c>
      <c r="F73" s="1512">
        <v>30297000</v>
      </c>
      <c r="G73" s="1511">
        <v>0</v>
      </c>
      <c r="H73" s="1514">
        <f t="shared" si="8"/>
        <v>30297000</v>
      </c>
      <c r="I73" s="1511">
        <v>23319920.5</v>
      </c>
      <c r="J73" s="1511">
        <v>6977079.5</v>
      </c>
      <c r="K73" s="1521">
        <f>SUM(I73+J73)</f>
        <v>30297000</v>
      </c>
      <c r="L73" s="1521">
        <f t="shared" si="11"/>
        <v>-6977079.5</v>
      </c>
      <c r="M73" s="1513">
        <f t="shared" si="9"/>
        <v>23319920.5</v>
      </c>
      <c r="N73" s="1514">
        <f aca="true" t="shared" si="12" ref="N73:O76">SUM(L73-G73)</f>
        <v>-6977079.5</v>
      </c>
      <c r="O73" s="1511">
        <f t="shared" si="12"/>
        <v>-6977079.5</v>
      </c>
      <c r="P73" s="1511">
        <v>0</v>
      </c>
      <c r="Q73" s="1512">
        <v>0</v>
      </c>
      <c r="R73" s="1517"/>
      <c r="S73" s="1517"/>
    </row>
    <row r="74" spans="1:19" ht="19.5" customHeight="1">
      <c r="A74" s="1560"/>
      <c r="B74" s="1607"/>
      <c r="C74" s="1557" t="s">
        <v>3352</v>
      </c>
      <c r="D74" s="1520"/>
      <c r="E74" s="1523">
        <v>30297000</v>
      </c>
      <c r="F74" s="1523">
        <v>30297000</v>
      </c>
      <c r="G74" s="1521">
        <v>0</v>
      </c>
      <c r="H74" s="1523">
        <f t="shared" si="8"/>
        <v>30297000</v>
      </c>
      <c r="I74" s="1544">
        <v>23319920.5</v>
      </c>
      <c r="J74" s="1544">
        <v>6977079.5</v>
      </c>
      <c r="K74" s="1521">
        <f>SUM(I74+J74)</f>
        <v>30297000</v>
      </c>
      <c r="L74" s="1521">
        <f t="shared" si="11"/>
        <v>-6977079.5</v>
      </c>
      <c r="M74" s="1563">
        <f>SUM(K74+L74)</f>
        <v>23319920.5</v>
      </c>
      <c r="N74" s="1544">
        <f t="shared" si="12"/>
        <v>-6977079.5</v>
      </c>
      <c r="O74" s="1521">
        <f t="shared" si="12"/>
        <v>-6977079.5</v>
      </c>
      <c r="P74" s="1544">
        <v>0</v>
      </c>
      <c r="Q74" s="1536">
        <v>0</v>
      </c>
      <c r="R74" s="1529"/>
      <c r="S74" s="1529"/>
    </row>
    <row r="75" spans="1:19" ht="19.5" customHeight="1">
      <c r="A75" s="1560"/>
      <c r="B75" s="1607"/>
      <c r="C75" s="1559" t="s">
        <v>3353</v>
      </c>
      <c r="D75" s="1532"/>
      <c r="E75" s="1566">
        <v>0</v>
      </c>
      <c r="F75" s="1533">
        <v>0</v>
      </c>
      <c r="G75" s="1566">
        <v>0</v>
      </c>
      <c r="H75" s="1525">
        <f t="shared" si="8"/>
        <v>0</v>
      </c>
      <c r="I75" s="1566">
        <v>0</v>
      </c>
      <c r="J75" s="1566">
        <v>0</v>
      </c>
      <c r="K75" s="1521">
        <f>SUM(I75+J75)</f>
        <v>0</v>
      </c>
      <c r="L75" s="1521">
        <f t="shared" si="11"/>
        <v>0</v>
      </c>
      <c r="M75" s="1524">
        <f>SUM(K75+L75)</f>
        <v>0</v>
      </c>
      <c r="N75" s="1544">
        <f t="shared" si="12"/>
        <v>0</v>
      </c>
      <c r="O75" s="1521">
        <f t="shared" si="12"/>
        <v>0</v>
      </c>
      <c r="P75" s="1566">
        <v>0</v>
      </c>
      <c r="Q75" s="1533">
        <v>0</v>
      </c>
      <c r="R75" s="1539"/>
      <c r="S75" s="1539"/>
    </row>
    <row r="76" spans="1:19" ht="19.5" customHeight="1" thickBot="1">
      <c r="A76" s="1564"/>
      <c r="B76" s="1609"/>
      <c r="C76" s="1614" t="s">
        <v>2600</v>
      </c>
      <c r="D76" s="1542"/>
      <c r="E76" s="1543">
        <v>0</v>
      </c>
      <c r="F76" s="1587">
        <v>0</v>
      </c>
      <c r="G76" s="1587">
        <v>0</v>
      </c>
      <c r="H76" s="1543">
        <f t="shared" si="8"/>
        <v>0</v>
      </c>
      <c r="I76" s="1543">
        <v>0</v>
      </c>
      <c r="J76" s="1543">
        <v>0</v>
      </c>
      <c r="K76" s="1521">
        <f>SUM(I76+J76)</f>
        <v>0</v>
      </c>
      <c r="L76" s="1521">
        <f t="shared" si="11"/>
        <v>0</v>
      </c>
      <c r="M76" s="1599">
        <f>SUM(K76+L76)</f>
        <v>0</v>
      </c>
      <c r="N76" s="1544">
        <f t="shared" si="12"/>
        <v>0</v>
      </c>
      <c r="O76" s="1521">
        <f t="shared" si="12"/>
        <v>0</v>
      </c>
      <c r="P76" s="1587">
        <v>0</v>
      </c>
      <c r="Q76" s="1587">
        <v>0</v>
      </c>
      <c r="R76" s="1588"/>
      <c r="S76" s="1588"/>
    </row>
    <row r="77" spans="1:19" ht="19.5" customHeight="1" thickBot="1">
      <c r="A77" s="1589"/>
      <c r="B77" s="1615"/>
      <c r="C77" s="1616" t="s">
        <v>2784</v>
      </c>
      <c r="D77" s="1617"/>
      <c r="E77" s="1620">
        <f aca="true" t="shared" si="13" ref="E77:P80">SUM(E9+E13+E17+E21+E25+E29+E33+E37+E41+E45+E49+E53+E57+E61+E65+E69+E73)</f>
        <v>77601000</v>
      </c>
      <c r="F77" s="1618">
        <f t="shared" si="13"/>
        <v>143368000</v>
      </c>
      <c r="G77" s="1618">
        <f t="shared" si="13"/>
        <v>1452686</v>
      </c>
      <c r="H77" s="1618">
        <f t="shared" si="13"/>
        <v>144820686</v>
      </c>
      <c r="I77" s="1618">
        <f t="shared" si="13"/>
        <v>114301073.35</v>
      </c>
      <c r="J77" s="1618">
        <f t="shared" si="13"/>
        <v>46353848.11</v>
      </c>
      <c r="K77" s="1618">
        <f t="shared" si="13"/>
        <v>160654921.45999998</v>
      </c>
      <c r="L77" s="1618">
        <f t="shared" si="13"/>
        <v>-11266141.649999999</v>
      </c>
      <c r="M77" s="1619">
        <f t="shared" si="13"/>
        <v>80396648.76</v>
      </c>
      <c r="N77" s="1620">
        <f t="shared" si="13"/>
        <v>9827202.950000007</v>
      </c>
      <c r="O77" s="1618">
        <f t="shared" si="13"/>
        <v>8857155.960000005</v>
      </c>
      <c r="P77" s="1618">
        <f t="shared" si="13"/>
        <v>230364262</v>
      </c>
      <c r="Q77" s="1512"/>
      <c r="R77" s="1582"/>
      <c r="S77" s="1582"/>
    </row>
    <row r="78" spans="1:19" ht="19.5" customHeight="1">
      <c r="A78" s="1621"/>
      <c r="B78" s="1622"/>
      <c r="C78" s="1557" t="s">
        <v>3352</v>
      </c>
      <c r="D78" s="1592"/>
      <c r="E78" s="1623">
        <f t="shared" si="13"/>
        <v>68176000</v>
      </c>
      <c r="F78" s="1618">
        <f t="shared" si="13"/>
        <v>130959000</v>
      </c>
      <c r="G78" s="1623">
        <f t="shared" si="13"/>
        <v>0</v>
      </c>
      <c r="H78" s="1623">
        <f t="shared" si="13"/>
        <v>130959000</v>
      </c>
      <c r="I78" s="1620">
        <f t="shared" si="13"/>
        <v>85217333.47</v>
      </c>
      <c r="J78" s="1623">
        <f t="shared" si="13"/>
        <v>45740903.82</v>
      </c>
      <c r="K78" s="1623">
        <f t="shared" si="13"/>
        <v>130958237.28999999</v>
      </c>
      <c r="L78" s="1623">
        <f t="shared" si="13"/>
        <v>-30542788.529999997</v>
      </c>
      <c r="M78" s="1624">
        <f t="shared" si="13"/>
        <v>57758011.09</v>
      </c>
      <c r="N78" s="1623">
        <f t="shared" si="13"/>
        <v>-5394850.929999992</v>
      </c>
      <c r="O78" s="1623">
        <f t="shared" si="13"/>
        <v>-6977842.210000003</v>
      </c>
      <c r="P78" s="1623">
        <f t="shared" si="13"/>
        <v>14703485</v>
      </c>
      <c r="Q78" s="1514"/>
      <c r="R78" s="1625"/>
      <c r="S78" s="1625"/>
    </row>
    <row r="79" spans="1:19" ht="19.5" customHeight="1">
      <c r="A79" s="1621"/>
      <c r="B79" s="1622"/>
      <c r="C79" s="1559" t="s">
        <v>3353</v>
      </c>
      <c r="D79" s="1520"/>
      <c r="E79" s="1628">
        <f t="shared" si="13"/>
        <v>6810000</v>
      </c>
      <c r="F79" s="1627">
        <f t="shared" si="13"/>
        <v>9794000</v>
      </c>
      <c r="G79" s="1627">
        <f t="shared" si="13"/>
        <v>0</v>
      </c>
      <c r="H79" s="1628">
        <f t="shared" si="13"/>
        <v>9794000</v>
      </c>
      <c r="I79" s="1628">
        <f t="shared" si="13"/>
        <v>25032007.38</v>
      </c>
      <c r="J79" s="1627">
        <f t="shared" si="13"/>
        <v>596990.79</v>
      </c>
      <c r="K79" s="1628">
        <f t="shared" si="13"/>
        <v>25628998.17</v>
      </c>
      <c r="L79" s="1628">
        <f t="shared" si="13"/>
        <v>15238007.379999999</v>
      </c>
      <c r="M79" s="1626">
        <f t="shared" si="13"/>
        <v>15834998.17</v>
      </c>
      <c r="N79" s="1628">
        <f t="shared" si="13"/>
        <v>15238007.379999999</v>
      </c>
      <c r="O79" s="1628">
        <f t="shared" si="13"/>
        <v>15834998.17</v>
      </c>
      <c r="P79" s="1628">
        <f t="shared" si="13"/>
        <v>487565</v>
      </c>
      <c r="Q79" s="1523"/>
      <c r="R79" s="1567"/>
      <c r="S79" s="1567"/>
    </row>
    <row r="80" spans="1:19" ht="19.5" customHeight="1" thickBot="1">
      <c r="A80" s="1583"/>
      <c r="B80" s="1629"/>
      <c r="C80" s="1585" t="s">
        <v>2600</v>
      </c>
      <c r="D80" s="1604"/>
      <c r="E80" s="1630">
        <f t="shared" si="13"/>
        <v>2615000</v>
      </c>
      <c r="F80" s="1630">
        <f t="shared" si="13"/>
        <v>2615000</v>
      </c>
      <c r="G80" s="1630">
        <f t="shared" si="13"/>
        <v>1452686</v>
      </c>
      <c r="H80" s="1630">
        <f t="shared" si="13"/>
        <v>4067686</v>
      </c>
      <c r="I80" s="1630">
        <f t="shared" si="13"/>
        <v>4051732.5</v>
      </c>
      <c r="J80" s="1630">
        <f t="shared" si="13"/>
        <v>15953.5</v>
      </c>
      <c r="K80" s="1630">
        <f t="shared" si="13"/>
        <v>4067686</v>
      </c>
      <c r="L80" s="1630">
        <f t="shared" si="13"/>
        <v>4038639.5</v>
      </c>
      <c r="M80" s="1631">
        <f t="shared" si="13"/>
        <v>6803639.5</v>
      </c>
      <c r="N80" s="1630">
        <f t="shared" si="13"/>
        <v>-15953.5</v>
      </c>
      <c r="O80" s="1630">
        <f t="shared" si="13"/>
        <v>0</v>
      </c>
      <c r="P80" s="1630">
        <f t="shared" si="13"/>
        <v>1190003</v>
      </c>
      <c r="Q80" s="1543"/>
      <c r="R80" s="1545"/>
      <c r="S80" s="1545"/>
    </row>
    <row r="81" spans="1:19" ht="12.75">
      <c r="A81" s="1490"/>
      <c r="B81" s="1063"/>
      <c r="C81" s="1491"/>
      <c r="D81" s="1492"/>
      <c r="E81" s="1493"/>
      <c r="F81" s="1493"/>
      <c r="G81" s="1493"/>
      <c r="H81" s="1493"/>
      <c r="I81" s="1493"/>
      <c r="J81" s="1493"/>
      <c r="K81" s="1493"/>
      <c r="L81" s="1493"/>
      <c r="M81" s="1489"/>
      <c r="N81" s="1493"/>
      <c r="O81" s="1493"/>
      <c r="P81" s="1493"/>
      <c r="Q81" s="1061"/>
      <c r="R81" s="1494"/>
      <c r="S81" s="1494"/>
    </row>
    <row r="82" spans="1:19" ht="39.75" customHeight="1">
      <c r="A82" s="1906" t="s">
        <v>3802</v>
      </c>
      <c r="B82" s="1906"/>
      <c r="C82" s="1906"/>
      <c r="D82" s="1906"/>
      <c r="E82" s="1906"/>
      <c r="F82" s="1906"/>
      <c r="G82" s="1906"/>
      <c r="H82" s="1906"/>
      <c r="I82" s="1906"/>
      <c r="J82" s="1906"/>
      <c r="K82" s="1906"/>
      <c r="L82" s="1906"/>
      <c r="M82" s="1906"/>
      <c r="N82" s="1906"/>
      <c r="O82" s="1906"/>
      <c r="P82" s="1906"/>
      <c r="Q82" s="1906"/>
      <c r="R82" s="1906"/>
      <c r="S82" s="1906"/>
    </row>
    <row r="83" spans="1:19" ht="12.75">
      <c r="A83" s="1490"/>
      <c r="B83" s="1063"/>
      <c r="C83" s="1491"/>
      <c r="D83" s="1492"/>
      <c r="E83" s="1493"/>
      <c r="F83" s="1493"/>
      <c r="G83" s="1493"/>
      <c r="H83" s="1493"/>
      <c r="I83" s="1493"/>
      <c r="J83" s="1493"/>
      <c r="K83" s="1493"/>
      <c r="L83" s="1493"/>
      <c r="M83" s="1493"/>
      <c r="N83" s="1493"/>
      <c r="O83" s="1493"/>
      <c r="P83" s="1493"/>
      <c r="Q83" s="1061"/>
      <c r="R83" s="1494"/>
      <c r="S83" s="1494"/>
    </row>
    <row r="84" spans="1:19" ht="12.75">
      <c r="A84" s="1490"/>
      <c r="B84" s="1063"/>
      <c r="C84" s="1491"/>
      <c r="D84" s="1492"/>
      <c r="E84" s="1493"/>
      <c r="F84" s="1493"/>
      <c r="G84" s="1493"/>
      <c r="H84" s="1493"/>
      <c r="I84" s="1493"/>
      <c r="J84" s="1493"/>
      <c r="K84" s="1493"/>
      <c r="L84" s="1493"/>
      <c r="M84" s="1493"/>
      <c r="N84" s="1493"/>
      <c r="O84" s="1493"/>
      <c r="P84" s="1493"/>
      <c r="Q84" s="1061"/>
      <c r="R84" s="1494"/>
      <c r="S84" s="1494"/>
    </row>
    <row r="85" spans="1:19" ht="12.75">
      <c r="A85" s="1058"/>
      <c r="B85" s="1058"/>
      <c r="C85" s="1057"/>
      <c r="E85" s="1064"/>
      <c r="F85" s="1064"/>
      <c r="G85" s="1064"/>
      <c r="H85" s="1064"/>
      <c r="I85" s="1064"/>
      <c r="J85" s="1064"/>
      <c r="K85" s="1064"/>
      <c r="L85" s="1064"/>
      <c r="M85" s="1065"/>
      <c r="N85" s="1065"/>
      <c r="O85" s="1064"/>
      <c r="P85" s="1064"/>
      <c r="Q85" s="1066"/>
      <c r="R85" s="1058"/>
      <c r="S85" s="1058"/>
    </row>
    <row r="86" spans="1:19" ht="21">
      <c r="A86" s="1636" t="s">
        <v>3719</v>
      </c>
      <c r="B86" s="1057"/>
      <c r="E86" s="1058"/>
      <c r="F86" s="1058"/>
      <c r="G86" s="1064"/>
      <c r="H86" s="1064"/>
      <c r="I86" s="1064"/>
      <c r="J86" s="1064"/>
      <c r="K86" s="1064"/>
      <c r="L86" s="1064"/>
      <c r="M86" s="1639" t="s">
        <v>3602</v>
      </c>
      <c r="O86" s="1495"/>
      <c r="Q86" s="1908" t="s">
        <v>3510</v>
      </c>
      <c r="R86" s="1908"/>
      <c r="S86" s="1908"/>
    </row>
    <row r="87" spans="1:19" ht="20.25">
      <c r="A87" s="1640" t="s">
        <v>3718</v>
      </c>
      <c r="B87" s="1057"/>
      <c r="D87" s="1057"/>
      <c r="G87" s="1057"/>
      <c r="H87" s="1064"/>
      <c r="I87" s="1064"/>
      <c r="J87" s="1064"/>
      <c r="K87" s="1057"/>
      <c r="L87" s="1057"/>
      <c r="M87" s="1067"/>
      <c r="N87" s="1056"/>
      <c r="O87" s="1058"/>
      <c r="P87" s="1058"/>
      <c r="Q87" s="1058"/>
      <c r="R87" s="1058"/>
      <c r="S87" s="1058"/>
    </row>
    <row r="88" spans="3:19" ht="12.75">
      <c r="C88" s="1057"/>
      <c r="D88" s="1057"/>
      <c r="E88" s="1057"/>
      <c r="F88" s="1068"/>
      <c r="G88" s="1057"/>
      <c r="H88" s="1064"/>
      <c r="I88" s="1064"/>
      <c r="J88" s="1064"/>
      <c r="K88" s="1057"/>
      <c r="L88" s="1057"/>
      <c r="M88" s="1067"/>
      <c r="N88" s="1056"/>
      <c r="O88" s="1058"/>
      <c r="P88" s="1058"/>
      <c r="Q88" s="1058"/>
      <c r="R88" s="1058"/>
      <c r="S88" s="1058"/>
    </row>
    <row r="89" spans="3:19" ht="12.75">
      <c r="C89" s="1057"/>
      <c r="D89" s="1057"/>
      <c r="E89" s="1057"/>
      <c r="F89" s="1068"/>
      <c r="G89" s="1057"/>
      <c r="H89" s="1064"/>
      <c r="I89" s="1064"/>
      <c r="J89" s="1057"/>
      <c r="K89" s="1057"/>
      <c r="L89" s="1057"/>
      <c r="M89" s="1067"/>
      <c r="N89" s="1056"/>
      <c r="O89" s="1058"/>
      <c r="P89" s="1058"/>
      <c r="Q89" s="1058"/>
      <c r="R89" s="1058"/>
      <c r="S89" s="1058"/>
    </row>
    <row r="90" spans="1:19" ht="12.75">
      <c r="A90" s="1058"/>
      <c r="B90" s="1057"/>
      <c r="C90" s="1057"/>
      <c r="D90" s="1057"/>
      <c r="E90" s="1057"/>
      <c r="F90" s="1068"/>
      <c r="G90" s="1064"/>
      <c r="H90" s="1057"/>
      <c r="I90" s="1064"/>
      <c r="J90" s="1057"/>
      <c r="K90" s="1057"/>
      <c r="L90" s="1057"/>
      <c r="M90" s="1067"/>
      <c r="N90" s="1056"/>
      <c r="O90" s="1058"/>
      <c r="P90" s="1058"/>
      <c r="Q90" s="1058"/>
      <c r="R90" s="1058"/>
      <c r="S90" s="1058"/>
    </row>
    <row r="91" spans="1:19" ht="12.75">
      <c r="A91" s="1058"/>
      <c r="B91" s="1057"/>
      <c r="C91" s="1057"/>
      <c r="D91" s="1057"/>
      <c r="E91" s="1057"/>
      <c r="F91" s="1057"/>
      <c r="G91" s="1064"/>
      <c r="H91" s="1057"/>
      <c r="I91" s="1064"/>
      <c r="J91" s="1057"/>
      <c r="K91" s="1057"/>
      <c r="L91" s="1057"/>
      <c r="M91" s="1067"/>
      <c r="N91" s="1056"/>
      <c r="O91" s="1058"/>
      <c r="P91" s="1058"/>
      <c r="Q91" s="1058"/>
      <c r="R91" s="1058"/>
      <c r="S91" s="1058"/>
    </row>
    <row r="92" spans="7:14" ht="12.75">
      <c r="G92" s="1069"/>
      <c r="I92" s="1069"/>
      <c r="M92" s="1070"/>
      <c r="N92" s="1070"/>
    </row>
    <row r="93" spans="9:14" ht="12.75">
      <c r="I93" s="1069"/>
      <c r="M93" s="1070"/>
      <c r="N93" s="1070"/>
    </row>
    <row r="94" spans="9:14" ht="12.75">
      <c r="I94" s="1069"/>
      <c r="M94" s="1070"/>
      <c r="N94" s="1070"/>
    </row>
    <row r="95" spans="1:19" ht="12.75">
      <c r="A95" s="1058"/>
      <c r="B95" s="1057"/>
      <c r="C95" s="1057"/>
      <c r="D95" s="1057"/>
      <c r="E95" s="1057"/>
      <c r="F95" s="1057"/>
      <c r="G95" s="1057"/>
      <c r="H95" s="1057"/>
      <c r="I95" s="1064"/>
      <c r="J95" s="1057"/>
      <c r="K95" s="1064"/>
      <c r="L95" s="1057"/>
      <c r="M95" s="1067"/>
      <c r="N95" s="1056"/>
      <c r="O95" s="1058"/>
      <c r="P95" s="1058"/>
      <c r="Q95" s="1058"/>
      <c r="R95" s="1058"/>
      <c r="S95" s="1058"/>
    </row>
    <row r="96" spans="9:14" ht="12.75">
      <c r="I96" s="1069"/>
      <c r="J96" s="1071"/>
      <c r="K96" s="1064"/>
      <c r="L96" s="1057"/>
      <c r="M96" s="1070"/>
      <c r="N96" s="1070"/>
    </row>
    <row r="97" spans="9:14" ht="12.75">
      <c r="I97" s="1069"/>
      <c r="J97" s="1064"/>
      <c r="K97" s="1064"/>
      <c r="L97" s="1057"/>
      <c r="M97" s="1070"/>
      <c r="N97" s="1070"/>
    </row>
    <row r="98" spans="9:14" ht="12.75">
      <c r="I98" s="1069"/>
      <c r="J98" s="1064"/>
      <c r="K98" s="1064"/>
      <c r="L98" s="1064"/>
      <c r="M98" s="1070"/>
      <c r="N98" s="1070"/>
    </row>
    <row r="99" spans="9:14" ht="12.75">
      <c r="I99" s="1069"/>
      <c r="J99" s="1064"/>
      <c r="K99" s="1057"/>
      <c r="L99" s="1057"/>
      <c r="M99" s="1070"/>
      <c r="N99" s="1070"/>
    </row>
    <row r="100" spans="9:14" ht="12.75">
      <c r="I100" s="1069"/>
      <c r="J100" s="1064"/>
      <c r="K100" s="1057"/>
      <c r="L100" s="1057"/>
      <c r="M100" s="1070"/>
      <c r="N100" s="1070"/>
    </row>
    <row r="101" spans="9:14" ht="12.75">
      <c r="I101" s="1069"/>
      <c r="M101" s="1070"/>
      <c r="N101" s="1070"/>
    </row>
    <row r="102" spans="9:14" ht="12.75">
      <c r="I102" s="1069"/>
      <c r="M102" s="1070"/>
      <c r="N102" s="1070"/>
    </row>
    <row r="103" spans="9:14" ht="12.75">
      <c r="I103" s="1069"/>
      <c r="M103" s="1070"/>
      <c r="N103" s="1070"/>
    </row>
    <row r="104" spans="9:14" ht="12.75">
      <c r="I104" s="1069"/>
      <c r="M104" s="1070"/>
      <c r="N104" s="1070"/>
    </row>
    <row r="105" spans="9:14" ht="12.75">
      <c r="I105" s="1069"/>
      <c r="M105" s="1070"/>
      <c r="N105" s="1070"/>
    </row>
    <row r="106" spans="9:14" ht="12.75">
      <c r="I106" s="1069"/>
      <c r="M106" s="1070"/>
      <c r="N106" s="1070"/>
    </row>
    <row r="107" spans="9:14" ht="12.75">
      <c r="I107" s="1069"/>
      <c r="M107" s="1070"/>
      <c r="N107" s="1070"/>
    </row>
    <row r="108" spans="9:14" ht="12.75">
      <c r="I108" s="1069"/>
      <c r="M108" s="1070"/>
      <c r="N108" s="1070"/>
    </row>
    <row r="109" spans="9:14" ht="12.75">
      <c r="I109" s="1069"/>
      <c r="M109" s="1070"/>
      <c r="N109" s="1070"/>
    </row>
    <row r="110" spans="9:14" ht="12.75">
      <c r="I110" s="1069"/>
      <c r="M110" s="1070"/>
      <c r="N110" s="1070"/>
    </row>
    <row r="111" spans="9:14" ht="12.75">
      <c r="I111" s="1069"/>
      <c r="M111" s="1070"/>
      <c r="N111" s="1070"/>
    </row>
    <row r="112" spans="9:14" ht="12.75">
      <c r="I112" s="1069"/>
      <c r="M112" s="1070"/>
      <c r="N112" s="1070"/>
    </row>
    <row r="113" spans="9:14" ht="12.75">
      <c r="I113" s="1069"/>
      <c r="M113" s="1070"/>
      <c r="N113" s="1070"/>
    </row>
    <row r="114" spans="9:14" ht="12.75">
      <c r="I114" s="1069"/>
      <c r="M114" s="1070"/>
      <c r="N114" s="1070"/>
    </row>
    <row r="115" spans="9:14" ht="12.75">
      <c r="I115" s="1069"/>
      <c r="M115" s="1070"/>
      <c r="N115" s="1070"/>
    </row>
    <row r="116" spans="9:14" ht="12.75">
      <c r="I116" s="1069"/>
      <c r="M116" s="1070"/>
      <c r="N116" s="1070"/>
    </row>
    <row r="117" spans="9:14" ht="12.75">
      <c r="I117" s="1069"/>
      <c r="M117" s="1070"/>
      <c r="N117" s="1070"/>
    </row>
    <row r="118" spans="9:14" ht="12.75">
      <c r="I118" s="1069"/>
      <c r="M118" s="1070"/>
      <c r="N118" s="1070"/>
    </row>
    <row r="119" spans="9:14" ht="12.75">
      <c r="I119" s="1069"/>
      <c r="M119" s="1070"/>
      <c r="N119" s="1070"/>
    </row>
    <row r="120" spans="9:14" ht="12.75">
      <c r="I120" s="1069"/>
      <c r="M120" s="1070"/>
      <c r="N120" s="1070"/>
    </row>
    <row r="121" spans="9:14" ht="12.75">
      <c r="I121" s="1069"/>
      <c r="M121" s="1070"/>
      <c r="N121" s="1070"/>
    </row>
    <row r="122" spans="9:14" ht="12.75">
      <c r="I122" s="1069"/>
      <c r="M122" s="1070"/>
      <c r="N122" s="1070"/>
    </row>
    <row r="123" spans="9:14" ht="12.75">
      <c r="I123" s="1069"/>
      <c r="M123" s="1070"/>
      <c r="N123" s="1070"/>
    </row>
    <row r="124" spans="9:14" ht="12.75">
      <c r="I124" s="1069"/>
      <c r="M124" s="1070"/>
      <c r="N124" s="1070"/>
    </row>
    <row r="125" spans="9:14" ht="12.75">
      <c r="I125" s="1069"/>
      <c r="M125" s="1070"/>
      <c r="N125" s="1070"/>
    </row>
    <row r="126" spans="9:14" ht="12.75">
      <c r="I126" s="1069"/>
      <c r="M126" s="1070"/>
      <c r="N126" s="1070"/>
    </row>
    <row r="127" spans="9:14" ht="12.75">
      <c r="I127" s="1069"/>
      <c r="M127" s="1070"/>
      <c r="N127" s="1070"/>
    </row>
    <row r="128" spans="9:14" ht="12.75">
      <c r="I128" s="1069"/>
      <c r="M128" s="1070"/>
      <c r="N128" s="1070"/>
    </row>
    <row r="129" spans="9:14" ht="12.75">
      <c r="I129" s="1069"/>
      <c r="M129" s="1070"/>
      <c r="N129" s="1070"/>
    </row>
    <row r="130" spans="9:14" ht="12.75">
      <c r="I130" s="1069"/>
      <c r="M130" s="1070"/>
      <c r="N130" s="1070"/>
    </row>
    <row r="131" spans="9:14" ht="12.75">
      <c r="I131" s="1069"/>
      <c r="M131" s="1070"/>
      <c r="N131" s="1070"/>
    </row>
    <row r="132" spans="9:14" ht="12.75">
      <c r="I132" s="1069"/>
      <c r="M132" s="1070"/>
      <c r="N132" s="1070"/>
    </row>
    <row r="133" spans="9:14" ht="12.75">
      <c r="I133" s="1069"/>
      <c r="M133" s="1070"/>
      <c r="N133" s="1070"/>
    </row>
    <row r="134" spans="9:14" ht="12.75">
      <c r="I134" s="1069"/>
      <c r="M134" s="1070"/>
      <c r="N134" s="1070"/>
    </row>
    <row r="135" spans="9:14" ht="12.75">
      <c r="I135" s="1069"/>
      <c r="M135" s="1070"/>
      <c r="N135" s="1070"/>
    </row>
    <row r="136" spans="9:14" ht="12.75">
      <c r="I136" s="1069"/>
      <c r="M136" s="1070"/>
      <c r="N136" s="1070"/>
    </row>
    <row r="137" spans="9:14" ht="12.75">
      <c r="I137" s="1069"/>
      <c r="M137" s="1070"/>
      <c r="N137" s="1070"/>
    </row>
    <row r="138" spans="9:14" ht="12.75">
      <c r="I138" s="1069"/>
      <c r="M138" s="1070"/>
      <c r="N138" s="1070"/>
    </row>
    <row r="139" spans="9:14" ht="12.75">
      <c r="I139" s="1069"/>
      <c r="M139" s="1070"/>
      <c r="N139" s="1070"/>
    </row>
    <row r="140" spans="9:14" ht="12.75">
      <c r="I140" s="1069"/>
      <c r="M140" s="1070"/>
      <c r="N140" s="1070"/>
    </row>
    <row r="141" spans="9:14" ht="12.75">
      <c r="I141" s="1069"/>
      <c r="M141" s="1070"/>
      <c r="N141" s="1070"/>
    </row>
    <row r="142" spans="9:14" ht="12.75">
      <c r="I142" s="1069"/>
      <c r="M142" s="1070"/>
      <c r="N142" s="1070"/>
    </row>
    <row r="143" spans="9:14" ht="12.75">
      <c r="I143" s="1069"/>
      <c r="M143" s="1070"/>
      <c r="N143" s="1070"/>
    </row>
    <row r="144" spans="9:14" ht="12.75">
      <c r="I144" s="1069"/>
      <c r="M144" s="1070"/>
      <c r="N144" s="1070"/>
    </row>
    <row r="145" spans="9:14" ht="12.75">
      <c r="I145" s="1069"/>
      <c r="M145" s="1070"/>
      <c r="N145" s="1070"/>
    </row>
    <row r="146" spans="9:14" ht="12.75">
      <c r="I146" s="1069"/>
      <c r="M146" s="1070"/>
      <c r="N146" s="1070"/>
    </row>
    <row r="147" spans="9:14" ht="12.75">
      <c r="I147" s="1069"/>
      <c r="M147" s="1070"/>
      <c r="N147" s="1070"/>
    </row>
    <row r="148" spans="9:14" ht="12.75">
      <c r="I148" s="1069"/>
      <c r="M148" s="1070"/>
      <c r="N148" s="1070"/>
    </row>
    <row r="149" spans="9:14" ht="12.75">
      <c r="I149" s="1069"/>
      <c r="M149" s="1070"/>
      <c r="N149" s="1070"/>
    </row>
    <row r="150" spans="9:14" ht="12.75">
      <c r="I150" s="1069"/>
      <c r="M150" s="1070"/>
      <c r="N150" s="1070"/>
    </row>
    <row r="151" spans="9:14" ht="12.75">
      <c r="I151" s="1069"/>
      <c r="M151" s="1070"/>
      <c r="N151" s="1070"/>
    </row>
    <row r="152" spans="9:14" ht="12.75">
      <c r="I152" s="1069"/>
      <c r="M152" s="1070"/>
      <c r="N152" s="1070"/>
    </row>
    <row r="153" spans="9:14" ht="12.75">
      <c r="I153" s="1069"/>
      <c r="M153" s="1070"/>
      <c r="N153" s="1070"/>
    </row>
    <row r="154" spans="9:14" ht="12.75">
      <c r="I154" s="1069"/>
      <c r="M154" s="1070"/>
      <c r="N154" s="1070"/>
    </row>
    <row r="155" spans="9:14" ht="12.75">
      <c r="I155" s="1069"/>
      <c r="M155" s="1070"/>
      <c r="N155" s="1070"/>
    </row>
    <row r="156" spans="9:14" ht="12.75">
      <c r="I156" s="1069"/>
      <c r="M156" s="1070"/>
      <c r="N156" s="1070"/>
    </row>
    <row r="157" spans="9:14" ht="12.75">
      <c r="I157" s="1069"/>
      <c r="M157" s="1070"/>
      <c r="N157" s="1070"/>
    </row>
    <row r="158" spans="9:14" ht="12.75">
      <c r="I158" s="1069"/>
      <c r="M158" s="1070"/>
      <c r="N158" s="1070"/>
    </row>
    <row r="159" spans="9:14" ht="12.75">
      <c r="I159" s="1069"/>
      <c r="M159" s="1070"/>
      <c r="N159" s="1070"/>
    </row>
    <row r="160" spans="9:14" ht="12.75">
      <c r="I160" s="1069"/>
      <c r="M160" s="1070"/>
      <c r="N160" s="1070"/>
    </row>
    <row r="161" spans="9:14" ht="12.75">
      <c r="I161" s="1069"/>
      <c r="M161" s="1070"/>
      <c r="N161" s="1070"/>
    </row>
    <row r="162" spans="9:14" ht="12.75">
      <c r="I162" s="1069"/>
      <c r="M162" s="1070"/>
      <c r="N162" s="1070"/>
    </row>
    <row r="163" spans="9:14" ht="12.75">
      <c r="I163" s="1069"/>
      <c r="M163" s="1070"/>
      <c r="N163" s="1070"/>
    </row>
    <row r="164" spans="9:14" ht="12.75">
      <c r="I164" s="1069"/>
      <c r="M164" s="1070"/>
      <c r="N164" s="1070"/>
    </row>
    <row r="165" spans="9:14" ht="12.75">
      <c r="I165" s="1069"/>
      <c r="M165" s="1070"/>
      <c r="N165" s="1070"/>
    </row>
    <row r="166" spans="9:14" ht="12.75">
      <c r="I166" s="1069"/>
      <c r="M166" s="1070"/>
      <c r="N166" s="1070"/>
    </row>
    <row r="167" spans="9:14" ht="12.75">
      <c r="I167" s="1069"/>
      <c r="M167" s="1070"/>
      <c r="N167" s="1070"/>
    </row>
    <row r="168" spans="9:14" ht="12.75">
      <c r="I168" s="1069"/>
      <c r="M168" s="1070"/>
      <c r="N168" s="1070"/>
    </row>
    <row r="169" spans="9:14" ht="12.75">
      <c r="I169" s="1069"/>
      <c r="M169" s="1070"/>
      <c r="N169" s="1070"/>
    </row>
    <row r="170" spans="9:14" ht="12.75">
      <c r="I170" s="1069"/>
      <c r="M170" s="1070"/>
      <c r="N170" s="1070"/>
    </row>
    <row r="171" spans="9:14" ht="12.75">
      <c r="I171" s="1069"/>
      <c r="M171" s="1070"/>
      <c r="N171" s="1070"/>
    </row>
    <row r="172" spans="9:14" ht="12.75">
      <c r="I172" s="1069"/>
      <c r="M172" s="1070"/>
      <c r="N172" s="1070"/>
    </row>
    <row r="173" spans="9:14" ht="12.75">
      <c r="I173" s="1069"/>
      <c r="M173" s="1070"/>
      <c r="N173" s="1070"/>
    </row>
    <row r="174" spans="9:14" ht="12.75">
      <c r="I174" s="1069"/>
      <c r="M174" s="1070"/>
      <c r="N174" s="1070"/>
    </row>
    <row r="175" spans="9:14" ht="12.75">
      <c r="I175" s="1069"/>
      <c r="M175" s="1070"/>
      <c r="N175" s="1070"/>
    </row>
    <row r="176" spans="9:14" ht="12.75">
      <c r="I176" s="1069"/>
      <c r="M176" s="1070"/>
      <c r="N176" s="1070"/>
    </row>
    <row r="177" spans="9:14" ht="12.75">
      <c r="I177" s="1069"/>
      <c r="M177" s="1070"/>
      <c r="N177" s="1070"/>
    </row>
    <row r="178" spans="9:14" ht="12.75">
      <c r="I178" s="1069"/>
      <c r="M178" s="1070"/>
      <c r="N178" s="1070"/>
    </row>
    <row r="179" spans="9:14" ht="12.75">
      <c r="I179" s="1069"/>
      <c r="M179" s="1070"/>
      <c r="N179" s="1070"/>
    </row>
    <row r="180" spans="9:14" ht="12.75">
      <c r="I180" s="1069"/>
      <c r="M180" s="1070"/>
      <c r="N180" s="1070"/>
    </row>
    <row r="181" spans="9:14" ht="12.75">
      <c r="I181" s="1069"/>
      <c r="M181" s="1070"/>
      <c r="N181" s="1070"/>
    </row>
    <row r="182" spans="9:14" ht="12.75">
      <c r="I182" s="1069"/>
      <c r="M182" s="1070"/>
      <c r="N182" s="1070"/>
    </row>
    <row r="183" spans="9:14" ht="12.75">
      <c r="I183" s="1069"/>
      <c r="M183" s="1070"/>
      <c r="N183" s="1070"/>
    </row>
    <row r="184" spans="9:14" ht="12.75">
      <c r="I184" s="1069"/>
      <c r="M184" s="1070"/>
      <c r="N184" s="1070"/>
    </row>
    <row r="185" spans="9:14" ht="12.75">
      <c r="I185" s="1069"/>
      <c r="M185" s="1070"/>
      <c r="N185" s="1070"/>
    </row>
    <row r="186" spans="9:14" ht="12.75">
      <c r="I186" s="1069"/>
      <c r="M186" s="1070"/>
      <c r="N186" s="1070"/>
    </row>
    <row r="187" spans="9:14" ht="12.75">
      <c r="I187" s="1069"/>
      <c r="M187" s="1070"/>
      <c r="N187" s="1070"/>
    </row>
    <row r="188" spans="9:14" ht="12.75">
      <c r="I188" s="1069"/>
      <c r="M188" s="1070"/>
      <c r="N188" s="1070"/>
    </row>
    <row r="189" spans="9:14" ht="12.75">
      <c r="I189" s="1069"/>
      <c r="M189" s="1070"/>
      <c r="N189" s="1070"/>
    </row>
    <row r="190" spans="9:14" ht="12.75">
      <c r="I190" s="1069"/>
      <c r="M190" s="1070"/>
      <c r="N190" s="1070"/>
    </row>
    <row r="191" spans="9:14" ht="12.75">
      <c r="I191" s="1069"/>
      <c r="M191" s="1070"/>
      <c r="N191" s="1070"/>
    </row>
    <row r="192" spans="9:14" ht="12.75">
      <c r="I192" s="1069"/>
      <c r="M192" s="1070"/>
      <c r="N192" s="1070"/>
    </row>
    <row r="193" spans="9:14" ht="12.75">
      <c r="I193" s="1069"/>
      <c r="M193" s="1070"/>
      <c r="N193" s="1070"/>
    </row>
    <row r="194" spans="9:14" ht="12.75">
      <c r="I194" s="1069"/>
      <c r="M194" s="1070"/>
      <c r="N194" s="1070"/>
    </row>
    <row r="195" spans="9:14" ht="12.75">
      <c r="I195" s="1069"/>
      <c r="M195" s="1070"/>
      <c r="N195" s="1070"/>
    </row>
    <row r="196" spans="9:14" ht="12.75">
      <c r="I196" s="1069"/>
      <c r="M196" s="1070"/>
      <c r="N196" s="1070"/>
    </row>
    <row r="197" spans="9:14" ht="12.75">
      <c r="I197" s="1069"/>
      <c r="M197" s="1070"/>
      <c r="N197" s="1070"/>
    </row>
    <row r="198" spans="9:14" ht="12.75">
      <c r="I198" s="1069"/>
      <c r="M198" s="1070"/>
      <c r="N198" s="1070"/>
    </row>
    <row r="199" spans="9:14" ht="12.75">
      <c r="I199" s="1069"/>
      <c r="M199" s="1070"/>
      <c r="N199" s="1070"/>
    </row>
    <row r="200" spans="9:14" ht="12.75">
      <c r="I200" s="1069"/>
      <c r="M200" s="1070"/>
      <c r="N200" s="1070"/>
    </row>
    <row r="201" spans="9:14" ht="12.75">
      <c r="I201" s="1069"/>
      <c r="M201" s="1070"/>
      <c r="N201" s="1070"/>
    </row>
    <row r="202" spans="9:14" ht="12.75">
      <c r="I202" s="1069"/>
      <c r="M202" s="1070"/>
      <c r="N202" s="1070"/>
    </row>
    <row r="203" spans="9:14" ht="12.75">
      <c r="I203" s="1069"/>
      <c r="M203" s="1070"/>
      <c r="N203" s="1070"/>
    </row>
    <row r="204" spans="9:14" ht="12.75">
      <c r="I204" s="1069"/>
      <c r="M204" s="1070"/>
      <c r="N204" s="1070"/>
    </row>
    <row r="205" spans="9:14" ht="12.75">
      <c r="I205" s="1069"/>
      <c r="M205" s="1070"/>
      <c r="N205" s="1070"/>
    </row>
    <row r="206" spans="9:14" ht="12.75">
      <c r="I206" s="1069"/>
      <c r="M206" s="1070"/>
      <c r="N206" s="1070"/>
    </row>
    <row r="207" spans="9:14" ht="12.75">
      <c r="I207" s="1069"/>
      <c r="M207" s="1070"/>
      <c r="N207" s="1070"/>
    </row>
    <row r="208" spans="9:14" ht="12.75">
      <c r="I208" s="1069"/>
      <c r="M208" s="1070"/>
      <c r="N208" s="1070"/>
    </row>
    <row r="209" spans="9:14" ht="12.75">
      <c r="I209" s="1069"/>
      <c r="M209" s="1070"/>
      <c r="N209" s="1070"/>
    </row>
    <row r="210" spans="9:14" ht="12.75">
      <c r="I210" s="1069"/>
      <c r="M210" s="1070"/>
      <c r="N210" s="1070"/>
    </row>
    <row r="211" spans="9:14" ht="12.75">
      <c r="I211" s="1069"/>
      <c r="M211" s="1070"/>
      <c r="N211" s="1070"/>
    </row>
    <row r="212" spans="9:14" ht="12.75">
      <c r="I212" s="1069"/>
      <c r="M212" s="1070"/>
      <c r="N212" s="1070"/>
    </row>
    <row r="213" spans="9:14" ht="12.75">
      <c r="I213" s="1069"/>
      <c r="M213" s="1070"/>
      <c r="N213" s="1070"/>
    </row>
    <row r="214" spans="9:14" ht="12.75">
      <c r="I214" s="1069"/>
      <c r="M214" s="1070"/>
      <c r="N214" s="1070"/>
    </row>
    <row r="215" spans="9:14" ht="12.75">
      <c r="I215" s="1069"/>
      <c r="M215" s="1070"/>
      <c r="N215" s="1070"/>
    </row>
    <row r="216" spans="9:14" ht="12.75">
      <c r="I216" s="1069"/>
      <c r="M216" s="1070"/>
      <c r="N216" s="1070"/>
    </row>
    <row r="217" spans="9:14" ht="12.75">
      <c r="I217" s="1069"/>
      <c r="M217" s="1070"/>
      <c r="N217" s="1070"/>
    </row>
    <row r="218" spans="13:14" ht="12.75">
      <c r="M218" s="1070"/>
      <c r="N218" s="1070"/>
    </row>
    <row r="219" spans="13:14" ht="12.75">
      <c r="M219" s="1070"/>
      <c r="N219" s="1070"/>
    </row>
    <row r="220" spans="13:14" ht="12.75">
      <c r="M220" s="1070"/>
      <c r="N220" s="1070"/>
    </row>
    <row r="221" spans="13:14" ht="12.75">
      <c r="M221" s="1070"/>
      <c r="N221" s="1070"/>
    </row>
    <row r="222" spans="13:14" ht="12.75">
      <c r="M222" s="1070"/>
      <c r="N222" s="1070"/>
    </row>
    <row r="223" spans="13:14" ht="12.75">
      <c r="M223" s="1070"/>
      <c r="N223" s="1070"/>
    </row>
    <row r="224" spans="13:14" ht="12.75">
      <c r="M224" s="1070"/>
      <c r="N224" s="1070"/>
    </row>
    <row r="225" spans="13:14" ht="12.75">
      <c r="M225" s="1070"/>
      <c r="N225" s="1070"/>
    </row>
    <row r="226" spans="13:14" ht="12.75">
      <c r="M226" s="1070"/>
      <c r="N226" s="1070"/>
    </row>
    <row r="227" spans="13:14" ht="12.75">
      <c r="M227" s="1070"/>
      <c r="N227" s="1070"/>
    </row>
    <row r="228" spans="13:14" ht="12.75">
      <c r="M228" s="1070"/>
      <c r="N228" s="1070"/>
    </row>
    <row r="229" spans="13:14" ht="12.75">
      <c r="M229" s="1070"/>
      <c r="N229" s="1070"/>
    </row>
    <row r="230" spans="13:14" ht="12.75">
      <c r="M230" s="1070"/>
      <c r="N230" s="1070"/>
    </row>
    <row r="231" spans="13:14" ht="12.75">
      <c r="M231" s="1070"/>
      <c r="N231" s="1070"/>
    </row>
    <row r="232" spans="13:14" ht="12.75">
      <c r="M232" s="1070"/>
      <c r="N232" s="1070"/>
    </row>
    <row r="233" spans="13:14" ht="12.75">
      <c r="M233" s="1070"/>
      <c r="N233" s="1070"/>
    </row>
    <row r="234" spans="13:14" ht="12.75">
      <c r="M234" s="1070"/>
      <c r="N234" s="1070"/>
    </row>
    <row r="235" spans="13:14" ht="12.75">
      <c r="M235" s="1070"/>
      <c r="N235" s="1070"/>
    </row>
    <row r="236" spans="13:14" ht="12.75">
      <c r="M236" s="1070"/>
      <c r="N236" s="1070"/>
    </row>
    <row r="237" spans="13:14" ht="12.75">
      <c r="M237" s="1070"/>
      <c r="N237" s="1070"/>
    </row>
    <row r="238" spans="13:14" ht="12.75">
      <c r="M238" s="1070"/>
      <c r="N238" s="1070"/>
    </row>
    <row r="239" spans="13:14" ht="12.75">
      <c r="M239" s="1070"/>
      <c r="N239" s="1070"/>
    </row>
    <row r="240" spans="13:14" ht="12.75">
      <c r="M240" s="1070"/>
      <c r="N240" s="1070"/>
    </row>
    <row r="241" spans="13:14" ht="12.75">
      <c r="M241" s="1070"/>
      <c r="N241" s="1070"/>
    </row>
    <row r="242" spans="13:14" ht="12.75">
      <c r="M242" s="1070"/>
      <c r="N242" s="1070"/>
    </row>
    <row r="243" spans="13:14" ht="12.75">
      <c r="M243" s="1070"/>
      <c r="N243" s="1070"/>
    </row>
    <row r="244" spans="13:14" ht="12.75">
      <c r="M244" s="1070"/>
      <c r="N244" s="1070"/>
    </row>
    <row r="245" spans="13:14" ht="12.75">
      <c r="M245" s="1070"/>
      <c r="N245" s="1070"/>
    </row>
    <row r="246" spans="13:14" ht="12.75">
      <c r="M246" s="1070"/>
      <c r="N246" s="1070"/>
    </row>
    <row r="247" spans="13:14" ht="12.75">
      <c r="M247" s="1070"/>
      <c r="N247" s="1070"/>
    </row>
    <row r="248" spans="13:14" ht="12.75">
      <c r="M248" s="1070"/>
      <c r="N248" s="1070"/>
    </row>
    <row r="249" spans="13:14" ht="12.75">
      <c r="M249" s="1070"/>
      <c r="N249" s="1070"/>
    </row>
    <row r="250" spans="13:14" ht="12.75">
      <c r="M250" s="1070"/>
      <c r="N250" s="1070"/>
    </row>
    <row r="251" spans="13:14" ht="12.75">
      <c r="M251" s="1070"/>
      <c r="N251" s="1070"/>
    </row>
    <row r="252" spans="13:14" ht="12.75">
      <c r="M252" s="1070"/>
      <c r="N252" s="1070"/>
    </row>
    <row r="253" spans="13:14" ht="12.75">
      <c r="M253" s="1070"/>
      <c r="N253" s="1070"/>
    </row>
    <row r="254" spans="13:14" ht="12.75">
      <c r="M254" s="1070"/>
      <c r="N254" s="1070"/>
    </row>
    <row r="255" spans="13:14" ht="12.75">
      <c r="M255" s="1070"/>
      <c r="N255" s="1070"/>
    </row>
    <row r="256" spans="13:14" ht="12.75">
      <c r="M256" s="1070"/>
      <c r="N256" s="1070"/>
    </row>
    <row r="257" spans="13:14" ht="12.75">
      <c r="M257" s="1070"/>
      <c r="N257" s="1070"/>
    </row>
    <row r="258" spans="13:14" ht="12.75">
      <c r="M258" s="1070"/>
      <c r="N258" s="1070"/>
    </row>
    <row r="259" spans="13:14" ht="12.75">
      <c r="M259" s="1070"/>
      <c r="N259" s="1070"/>
    </row>
    <row r="260" spans="13:14" ht="12.75">
      <c r="M260" s="1070"/>
      <c r="N260" s="1070"/>
    </row>
    <row r="261" spans="13:14" ht="12.75">
      <c r="M261" s="1070"/>
      <c r="N261" s="1070"/>
    </row>
    <row r="262" spans="13:14" ht="12.75">
      <c r="M262" s="1070"/>
      <c r="N262" s="1070"/>
    </row>
    <row r="263" spans="13:14" ht="12.75">
      <c r="M263" s="1070"/>
      <c r="N263" s="1070"/>
    </row>
    <row r="264" spans="13:14" ht="12.75">
      <c r="M264" s="1070"/>
      <c r="N264" s="1070"/>
    </row>
    <row r="265" spans="13:14" ht="12.75">
      <c r="M265" s="1070"/>
      <c r="N265" s="1070"/>
    </row>
    <row r="266" spans="13:14" ht="12.75">
      <c r="M266" s="1070"/>
      <c r="N266" s="1070"/>
    </row>
    <row r="267" spans="13:14" ht="12.75">
      <c r="M267" s="1070"/>
      <c r="N267" s="1070"/>
    </row>
    <row r="268" spans="13:14" ht="12.75">
      <c r="M268" s="1070"/>
      <c r="N268" s="1070"/>
    </row>
    <row r="269" spans="13:14" ht="12.75">
      <c r="M269" s="1070"/>
      <c r="N269" s="1070"/>
    </row>
    <row r="270" spans="13:14" ht="12.75">
      <c r="M270" s="1070"/>
      <c r="N270" s="1070"/>
    </row>
    <row r="271" spans="13:14" ht="12.75">
      <c r="M271" s="1070"/>
      <c r="N271" s="1070"/>
    </row>
    <row r="272" spans="13:14" ht="12.75">
      <c r="M272" s="1070"/>
      <c r="N272" s="1070"/>
    </row>
    <row r="273" spans="13:14" ht="12.75">
      <c r="M273" s="1070"/>
      <c r="N273" s="1070"/>
    </row>
    <row r="274" spans="13:14" ht="12.75">
      <c r="M274" s="1070"/>
      <c r="N274" s="1070"/>
    </row>
    <row r="275" spans="13:14" ht="12.75">
      <c r="M275" s="1070"/>
      <c r="N275" s="1070"/>
    </row>
    <row r="276" spans="13:14" ht="12.75">
      <c r="M276" s="1070"/>
      <c r="N276" s="1070"/>
    </row>
    <row r="277" spans="13:14" ht="12.75">
      <c r="M277" s="1070"/>
      <c r="N277" s="1070"/>
    </row>
    <row r="278" spans="13:14" ht="12.75">
      <c r="M278" s="1070"/>
      <c r="N278" s="1070"/>
    </row>
    <row r="279" spans="13:14" ht="12.75">
      <c r="M279" s="1070"/>
      <c r="N279" s="1070"/>
    </row>
    <row r="280" spans="13:14" ht="12.75">
      <c r="M280" s="1070"/>
      <c r="N280" s="1070"/>
    </row>
    <row r="281" spans="13:14" ht="12.75">
      <c r="M281" s="1070"/>
      <c r="N281" s="1070"/>
    </row>
    <row r="282" spans="13:14" ht="12.75">
      <c r="M282" s="1070"/>
      <c r="N282" s="1070"/>
    </row>
    <row r="283" spans="13:14" ht="12.75">
      <c r="M283" s="1070"/>
      <c r="N283" s="1070"/>
    </row>
    <row r="284" spans="13:14" ht="12.75">
      <c r="M284" s="1070"/>
      <c r="N284" s="1070"/>
    </row>
    <row r="285" spans="13:14" ht="12.75">
      <c r="M285" s="1070"/>
      <c r="N285" s="1070"/>
    </row>
    <row r="286" spans="13:14" ht="12.75">
      <c r="M286" s="1070"/>
      <c r="N286" s="1070"/>
    </row>
    <row r="287" spans="13:14" ht="12.75">
      <c r="M287" s="1070"/>
      <c r="N287" s="1070"/>
    </row>
    <row r="288" spans="13:14" ht="12.75">
      <c r="M288" s="1070"/>
      <c r="N288" s="1070"/>
    </row>
    <row r="289" spans="13:14" ht="12.75">
      <c r="M289" s="1070"/>
      <c r="N289" s="1070"/>
    </row>
    <row r="290" spans="13:14" ht="12.75">
      <c r="M290" s="1070"/>
      <c r="N290" s="1070"/>
    </row>
    <row r="291" spans="13:14" ht="12.75">
      <c r="M291" s="1070"/>
      <c r="N291" s="1070"/>
    </row>
    <row r="292" spans="13:14" ht="12.75">
      <c r="M292" s="1070"/>
      <c r="N292" s="1070"/>
    </row>
    <row r="293" spans="13:14" ht="12.75">
      <c r="M293" s="1070"/>
      <c r="N293" s="1070"/>
    </row>
    <row r="294" spans="13:14" ht="12.75">
      <c r="M294" s="1070"/>
      <c r="N294" s="1070"/>
    </row>
    <row r="295" spans="13:14" ht="12.75">
      <c r="M295" s="1070"/>
      <c r="N295" s="1070"/>
    </row>
    <row r="296" spans="13:14" ht="12.75">
      <c r="M296" s="1070"/>
      <c r="N296" s="1070"/>
    </row>
    <row r="297" spans="13:14" ht="12.75">
      <c r="M297" s="1070"/>
      <c r="N297" s="1070"/>
    </row>
    <row r="298" spans="13:14" ht="12.75">
      <c r="M298" s="1070"/>
      <c r="N298" s="1070"/>
    </row>
    <row r="299" spans="13:14" ht="12.75">
      <c r="M299" s="1070"/>
      <c r="N299" s="1070"/>
    </row>
    <row r="300" spans="13:14" ht="12.75">
      <c r="M300" s="1070"/>
      <c r="N300" s="1070"/>
    </row>
    <row r="301" spans="13:14" ht="12.75">
      <c r="M301" s="1070"/>
      <c r="N301" s="1070"/>
    </row>
    <row r="302" spans="13:14" ht="12.75">
      <c r="M302" s="1070"/>
      <c r="N302" s="1070"/>
    </row>
    <row r="303" spans="13:14" ht="12.75">
      <c r="M303" s="1070"/>
      <c r="N303" s="1070"/>
    </row>
    <row r="304" spans="13:14" ht="12.75">
      <c r="M304" s="1070"/>
      <c r="N304" s="1070"/>
    </row>
    <row r="305" spans="13:14" ht="12.75">
      <c r="M305" s="1070"/>
      <c r="N305" s="1070"/>
    </row>
    <row r="306" spans="13:14" ht="12.75">
      <c r="M306" s="1070"/>
      <c r="N306" s="1070"/>
    </row>
    <row r="307" spans="13:14" ht="12.75">
      <c r="M307" s="1070"/>
      <c r="N307" s="1070"/>
    </row>
    <row r="308" spans="13:14" ht="12.75">
      <c r="M308" s="1070"/>
      <c r="N308" s="1070"/>
    </row>
    <row r="309" spans="13:14" ht="12.75">
      <c r="M309" s="1070"/>
      <c r="N309" s="1070"/>
    </row>
    <row r="310" spans="13:14" ht="12.75">
      <c r="M310" s="1070"/>
      <c r="N310" s="1070"/>
    </row>
    <row r="311" spans="13:14" ht="12.75">
      <c r="M311" s="1070"/>
      <c r="N311" s="1070"/>
    </row>
    <row r="312" spans="13:14" ht="12.75">
      <c r="M312" s="1070"/>
      <c r="N312" s="1070"/>
    </row>
    <row r="313" spans="13:14" ht="12.75">
      <c r="M313" s="1070"/>
      <c r="N313" s="1070"/>
    </row>
    <row r="314" spans="13:14" ht="12.75">
      <c r="M314" s="1070"/>
      <c r="N314" s="1070"/>
    </row>
    <row r="315" spans="13:14" ht="12.75">
      <c r="M315" s="1070"/>
      <c r="N315" s="1070"/>
    </row>
    <row r="316" spans="13:14" ht="12.75">
      <c r="M316" s="1070"/>
      <c r="N316" s="1070"/>
    </row>
    <row r="317" spans="13:14" ht="12.75">
      <c r="M317" s="1070"/>
      <c r="N317" s="1070"/>
    </row>
    <row r="318" spans="13:14" ht="12.75">
      <c r="M318" s="1070"/>
      <c r="N318" s="1070"/>
    </row>
    <row r="319" spans="13:14" ht="12.75">
      <c r="M319" s="1070"/>
      <c r="N319" s="1070"/>
    </row>
    <row r="320" spans="13:14" ht="12.75">
      <c r="M320" s="1070"/>
      <c r="N320" s="1070"/>
    </row>
    <row r="321" spans="13:14" ht="12.75">
      <c r="M321" s="1070"/>
      <c r="N321" s="1070"/>
    </row>
    <row r="322" spans="13:14" ht="12.75">
      <c r="M322" s="1070"/>
      <c r="N322" s="1070"/>
    </row>
    <row r="323" spans="13:14" ht="12.75">
      <c r="M323" s="1070"/>
      <c r="N323" s="1070"/>
    </row>
    <row r="324" spans="13:14" ht="12.75">
      <c r="M324" s="1070"/>
      <c r="N324" s="1070"/>
    </row>
    <row r="325" spans="13:14" ht="12.75">
      <c r="M325" s="1070"/>
      <c r="N325" s="1070"/>
    </row>
    <row r="326" spans="13:14" ht="12.75">
      <c r="M326" s="1070"/>
      <c r="N326" s="1070"/>
    </row>
    <row r="327" spans="13:14" ht="12.75">
      <c r="M327" s="1070"/>
      <c r="N327" s="1070"/>
    </row>
    <row r="328" spans="13:14" ht="12.75">
      <c r="M328" s="1070"/>
      <c r="N328" s="1070"/>
    </row>
    <row r="329" spans="13:14" ht="12.75">
      <c r="M329" s="1070"/>
      <c r="N329" s="1070"/>
    </row>
    <row r="330" spans="13:14" ht="12.75">
      <c r="M330" s="1070"/>
      <c r="N330" s="1070"/>
    </row>
    <row r="331" spans="13:14" ht="12.75">
      <c r="M331" s="1070"/>
      <c r="N331" s="1070"/>
    </row>
    <row r="332" spans="13:14" ht="12.75">
      <c r="M332" s="1070"/>
      <c r="N332" s="1070"/>
    </row>
    <row r="333" spans="13:14" ht="12.75">
      <c r="M333" s="1070"/>
      <c r="N333" s="1070"/>
    </row>
    <row r="334" spans="13:14" ht="12.75">
      <c r="M334" s="1070"/>
      <c r="N334" s="1070"/>
    </row>
    <row r="335" spans="13:14" ht="12.75">
      <c r="M335" s="1070"/>
      <c r="N335" s="1070"/>
    </row>
    <row r="336" spans="13:14" ht="12.75">
      <c r="M336" s="1070"/>
      <c r="N336" s="1070"/>
    </row>
    <row r="337" spans="13:14" ht="12.75">
      <c r="M337" s="1070"/>
      <c r="N337" s="1070"/>
    </row>
    <row r="338" spans="13:14" ht="12.75">
      <c r="M338" s="1070"/>
      <c r="N338" s="1070"/>
    </row>
    <row r="339" spans="13:14" ht="12.75">
      <c r="M339" s="1070"/>
      <c r="N339" s="1070"/>
    </row>
    <row r="340" spans="13:14" ht="12.75">
      <c r="M340" s="1070"/>
      <c r="N340" s="1070"/>
    </row>
    <row r="341" spans="13:14" ht="12.75">
      <c r="M341" s="1070"/>
      <c r="N341" s="1070"/>
    </row>
    <row r="342" spans="13:14" ht="12.75">
      <c r="M342" s="1070"/>
      <c r="N342" s="1070"/>
    </row>
    <row r="343" spans="13:14" ht="12.75">
      <c r="M343" s="1070"/>
      <c r="N343" s="1070"/>
    </row>
    <row r="344" spans="13:14" ht="12.75">
      <c r="M344" s="1070"/>
      <c r="N344" s="1070"/>
    </row>
    <row r="345" spans="13:14" ht="12.75">
      <c r="M345" s="1070"/>
      <c r="N345" s="1070"/>
    </row>
    <row r="346" spans="13:14" ht="12.75">
      <c r="M346" s="1070"/>
      <c r="N346" s="1070"/>
    </row>
    <row r="347" spans="13:14" ht="12.75">
      <c r="M347" s="1070"/>
      <c r="N347" s="1070"/>
    </row>
    <row r="348" spans="13:14" ht="12.75">
      <c r="M348" s="1070"/>
      <c r="N348" s="1070"/>
    </row>
    <row r="349" spans="13:14" ht="12.75">
      <c r="M349" s="1070"/>
      <c r="N349" s="1070"/>
    </row>
    <row r="350" spans="13:14" ht="12.75">
      <c r="M350" s="1070"/>
      <c r="N350" s="1070"/>
    </row>
    <row r="351" spans="13:14" ht="12.75">
      <c r="M351" s="1070"/>
      <c r="N351" s="1070"/>
    </row>
    <row r="352" spans="13:14" ht="12.75">
      <c r="M352" s="1070"/>
      <c r="N352" s="1070"/>
    </row>
    <row r="353" spans="13:14" ht="12.75">
      <c r="M353" s="1070"/>
      <c r="N353" s="1070"/>
    </row>
    <row r="354" spans="13:14" ht="12.75">
      <c r="M354" s="1070"/>
      <c r="N354" s="1070"/>
    </row>
    <row r="355" spans="13:14" ht="12.75">
      <c r="M355" s="1070"/>
      <c r="N355" s="1070"/>
    </row>
    <row r="356" spans="13:14" ht="12.75">
      <c r="M356" s="1070"/>
      <c r="N356" s="1070"/>
    </row>
    <row r="357" spans="13:14" ht="12.75">
      <c r="M357" s="1070"/>
      <c r="N357" s="1070"/>
    </row>
    <row r="358" spans="13:14" ht="12.75">
      <c r="M358" s="1070"/>
      <c r="N358" s="1070"/>
    </row>
    <row r="359" spans="13:14" ht="12.75">
      <c r="M359" s="1070"/>
      <c r="N359" s="1070"/>
    </row>
    <row r="360" spans="13:14" ht="12.75">
      <c r="M360" s="1070"/>
      <c r="N360" s="1070"/>
    </row>
    <row r="361" spans="13:14" ht="12.75">
      <c r="M361" s="1070"/>
      <c r="N361" s="1070"/>
    </row>
    <row r="362" spans="13:14" ht="12.75">
      <c r="M362" s="1070"/>
      <c r="N362" s="1070"/>
    </row>
    <row r="363" spans="13:14" ht="12.75">
      <c r="M363" s="1070"/>
      <c r="N363" s="1070"/>
    </row>
    <row r="364" spans="13:14" ht="12.75">
      <c r="M364" s="1070"/>
      <c r="N364" s="1070"/>
    </row>
    <row r="365" spans="13:14" ht="12.75">
      <c r="M365" s="1070"/>
      <c r="N365" s="1070"/>
    </row>
    <row r="366" spans="13:14" ht="12.75">
      <c r="M366" s="1070"/>
      <c r="N366" s="1070"/>
    </row>
    <row r="367" spans="13:14" ht="12.75">
      <c r="M367" s="1070"/>
      <c r="N367" s="1070"/>
    </row>
    <row r="368" spans="13:14" ht="12.75">
      <c r="M368" s="1070"/>
      <c r="N368" s="1070"/>
    </row>
    <row r="369" spans="13:14" ht="12.75">
      <c r="M369" s="1070"/>
      <c r="N369" s="1070"/>
    </row>
    <row r="370" spans="13:14" ht="12.75">
      <c r="M370" s="1070"/>
      <c r="N370" s="1070"/>
    </row>
    <row r="371" spans="13:14" ht="12.75">
      <c r="M371" s="1070"/>
      <c r="N371" s="1070"/>
    </row>
    <row r="372" spans="13:14" ht="12.75">
      <c r="M372" s="1070"/>
      <c r="N372" s="1070"/>
    </row>
    <row r="373" spans="13:14" ht="12.75">
      <c r="M373" s="1070"/>
      <c r="N373" s="1070"/>
    </row>
    <row r="374" spans="13:14" ht="12.75">
      <c r="M374" s="1070"/>
      <c r="N374" s="1070"/>
    </row>
    <row r="375" spans="13:14" ht="12.75">
      <c r="M375" s="1070"/>
      <c r="N375" s="1070"/>
    </row>
    <row r="376" spans="13:14" ht="12.75">
      <c r="M376" s="1070"/>
      <c r="N376" s="1070"/>
    </row>
    <row r="377" spans="13:14" ht="12.75">
      <c r="M377" s="1070"/>
      <c r="N377" s="1070"/>
    </row>
    <row r="378" spans="13:14" ht="12.75">
      <c r="M378" s="1070"/>
      <c r="N378" s="1070"/>
    </row>
    <row r="379" spans="13:14" ht="12.75">
      <c r="M379" s="1070"/>
      <c r="N379" s="1070"/>
    </row>
    <row r="380" spans="13:14" ht="12.75">
      <c r="M380" s="1070"/>
      <c r="N380" s="1070"/>
    </row>
    <row r="381" spans="13:14" ht="12.75">
      <c r="M381" s="1070"/>
      <c r="N381" s="1070"/>
    </row>
    <row r="382" spans="13:14" ht="12.75">
      <c r="M382" s="1070"/>
      <c r="N382" s="1070"/>
    </row>
    <row r="383" spans="13:14" ht="12.75">
      <c r="M383" s="1070"/>
      <c r="N383" s="1070"/>
    </row>
    <row r="384" spans="13:14" ht="12.75">
      <c r="M384" s="1070"/>
      <c r="N384" s="1070"/>
    </row>
    <row r="385" spans="13:14" ht="12.75">
      <c r="M385" s="1070"/>
      <c r="N385" s="1070"/>
    </row>
    <row r="386" spans="13:14" ht="12.75">
      <c r="M386" s="1070"/>
      <c r="N386" s="1070"/>
    </row>
    <row r="387" spans="13:14" ht="12.75">
      <c r="M387" s="1070"/>
      <c r="N387" s="1070"/>
    </row>
    <row r="388" spans="13:14" ht="12.75">
      <c r="M388" s="1070"/>
      <c r="N388" s="1070"/>
    </row>
    <row r="389" spans="13:14" ht="12.75">
      <c r="M389" s="1070"/>
      <c r="N389" s="1070"/>
    </row>
    <row r="390" spans="13:14" ht="12.75">
      <c r="M390" s="1070"/>
      <c r="N390" s="1070"/>
    </row>
    <row r="391" spans="13:14" ht="12.75">
      <c r="M391" s="1070"/>
      <c r="N391" s="1070"/>
    </row>
    <row r="392" spans="13:14" ht="12.75">
      <c r="M392" s="1070"/>
      <c r="N392" s="1070"/>
    </row>
    <row r="393" spans="13:14" ht="12.75">
      <c r="M393" s="1070"/>
      <c r="N393" s="1070"/>
    </row>
    <row r="394" spans="13:14" ht="12.75">
      <c r="M394" s="1070"/>
      <c r="N394" s="1070"/>
    </row>
    <row r="395" spans="13:14" ht="12.75">
      <c r="M395" s="1070"/>
      <c r="N395" s="1070"/>
    </row>
    <row r="396" spans="13:14" ht="12.75">
      <c r="M396" s="1070"/>
      <c r="N396" s="1070"/>
    </row>
    <row r="397" spans="13:14" ht="12.75">
      <c r="M397" s="1070"/>
      <c r="N397" s="1070"/>
    </row>
    <row r="398" spans="13:14" ht="12.75">
      <c r="M398" s="1070"/>
      <c r="N398" s="1070"/>
    </row>
    <row r="399" spans="13:14" ht="12.75">
      <c r="M399" s="1070"/>
      <c r="N399" s="1070"/>
    </row>
    <row r="400" spans="13:14" ht="12.75">
      <c r="M400" s="1070"/>
      <c r="N400" s="1070"/>
    </row>
    <row r="401" spans="13:14" ht="12.75">
      <c r="M401" s="1070"/>
      <c r="N401" s="1070"/>
    </row>
    <row r="402" spans="13:14" ht="12.75">
      <c r="M402" s="1070"/>
      <c r="N402" s="1070"/>
    </row>
    <row r="403" spans="13:14" ht="12.75">
      <c r="M403" s="1070"/>
      <c r="N403" s="1070"/>
    </row>
    <row r="404" spans="13:14" ht="12.75">
      <c r="M404" s="1070"/>
      <c r="N404" s="1070"/>
    </row>
    <row r="405" spans="13:14" ht="12.75">
      <c r="M405" s="1070"/>
      <c r="N405" s="1070"/>
    </row>
    <row r="406" spans="13:14" ht="12.75">
      <c r="M406" s="1070"/>
      <c r="N406" s="1070"/>
    </row>
    <row r="407" spans="13:14" ht="12.75">
      <c r="M407" s="1070"/>
      <c r="N407" s="1070"/>
    </row>
    <row r="408" spans="13:14" ht="12.75">
      <c r="M408" s="1070"/>
      <c r="N408" s="1070"/>
    </row>
    <row r="409" spans="13:14" ht="12.75">
      <c r="M409" s="1070"/>
      <c r="N409" s="1070"/>
    </row>
    <row r="410" spans="13:14" ht="12.75">
      <c r="M410" s="1070"/>
      <c r="N410" s="1070"/>
    </row>
    <row r="411" spans="13:14" ht="12.75">
      <c r="M411" s="1070"/>
      <c r="N411" s="1070"/>
    </row>
    <row r="412" spans="13:14" ht="12.75">
      <c r="M412" s="1070"/>
      <c r="N412" s="1070"/>
    </row>
    <row r="413" spans="13:14" ht="12.75">
      <c r="M413" s="1070"/>
      <c r="N413" s="1070"/>
    </row>
    <row r="414" spans="13:14" ht="12.75">
      <c r="M414" s="1070"/>
      <c r="N414" s="1070"/>
    </row>
    <row r="415" spans="13:14" ht="12.75">
      <c r="M415" s="1070"/>
      <c r="N415" s="1070"/>
    </row>
    <row r="416" spans="13:14" ht="12.75">
      <c r="M416" s="1070"/>
      <c r="N416" s="1070"/>
    </row>
    <row r="417" spans="13:14" ht="12.75">
      <c r="M417" s="1070"/>
      <c r="N417" s="1070"/>
    </row>
    <row r="418" spans="13:14" ht="12.75">
      <c r="M418" s="1070"/>
      <c r="N418" s="1070"/>
    </row>
    <row r="419" spans="13:14" ht="12.75">
      <c r="M419" s="1070"/>
      <c r="N419" s="1070"/>
    </row>
    <row r="420" spans="13:14" ht="12.75">
      <c r="M420" s="1070"/>
      <c r="N420" s="1070"/>
    </row>
    <row r="421" spans="13:14" ht="12.75">
      <c r="M421" s="1070"/>
      <c r="N421" s="1070"/>
    </row>
    <row r="422" spans="13:14" ht="12.75">
      <c r="M422" s="1070"/>
      <c r="N422" s="1070"/>
    </row>
    <row r="423" spans="13:14" ht="12.75">
      <c r="M423" s="1070"/>
      <c r="N423" s="1070"/>
    </row>
    <row r="424" spans="13:14" ht="12.75">
      <c r="M424" s="1070"/>
      <c r="N424" s="1070"/>
    </row>
    <row r="425" spans="13:14" ht="12.75">
      <c r="M425" s="1070"/>
      <c r="N425" s="1070"/>
    </row>
    <row r="426" spans="13:14" ht="12.75">
      <c r="M426" s="1070"/>
      <c r="N426" s="1070"/>
    </row>
    <row r="427" spans="13:14" ht="12.75">
      <c r="M427" s="1070"/>
      <c r="N427" s="1070"/>
    </row>
    <row r="428" spans="13:14" ht="12.75">
      <c r="M428" s="1070"/>
      <c r="N428" s="1070"/>
    </row>
    <row r="429" spans="13:14" ht="12.75">
      <c r="M429" s="1070"/>
      <c r="N429" s="1070"/>
    </row>
    <row r="430" spans="13:14" ht="12.75">
      <c r="M430" s="1070"/>
      <c r="N430" s="1070"/>
    </row>
    <row r="431" spans="13:14" ht="12.75">
      <c r="M431" s="1070"/>
      <c r="N431" s="1070"/>
    </row>
    <row r="432" spans="13:14" ht="12.75">
      <c r="M432" s="1070"/>
      <c r="N432" s="1070"/>
    </row>
    <row r="433" spans="13:14" ht="12.75">
      <c r="M433" s="1070"/>
      <c r="N433" s="1070"/>
    </row>
    <row r="434" spans="13:14" ht="12.75">
      <c r="M434" s="1070"/>
      <c r="N434" s="1070"/>
    </row>
    <row r="435" spans="13:14" ht="12.75">
      <c r="M435" s="1070"/>
      <c r="N435" s="1070"/>
    </row>
    <row r="436" spans="13:14" ht="12.75">
      <c r="M436" s="1070"/>
      <c r="N436" s="1070"/>
    </row>
    <row r="437" spans="13:14" ht="12.75">
      <c r="M437" s="1070"/>
      <c r="N437" s="1070"/>
    </row>
    <row r="438" spans="13:14" ht="12.75">
      <c r="M438" s="1070"/>
      <c r="N438" s="1070"/>
    </row>
    <row r="439" spans="13:14" ht="12.75">
      <c r="M439" s="1070"/>
      <c r="N439" s="1070"/>
    </row>
    <row r="440" spans="13:14" ht="12.75">
      <c r="M440" s="1070"/>
      <c r="N440" s="1070"/>
    </row>
    <row r="441" spans="13:14" ht="12.75">
      <c r="M441" s="1070"/>
      <c r="N441" s="1070"/>
    </row>
  </sheetData>
  <mergeCells count="24">
    <mergeCell ref="H6:H7"/>
    <mergeCell ref="I6:I7"/>
    <mergeCell ref="F6:F7"/>
    <mergeCell ref="G6:G7"/>
    <mergeCell ref="K6:K7"/>
    <mergeCell ref="R2:S2"/>
    <mergeCell ref="A3:S3"/>
    <mergeCell ref="R6:R7"/>
    <mergeCell ref="S6:S7"/>
    <mergeCell ref="R5:S5"/>
    <mergeCell ref="D6:D7"/>
    <mergeCell ref="E6:E7"/>
    <mergeCell ref="L6:M6"/>
    <mergeCell ref="A5:A7"/>
    <mergeCell ref="A82:S82"/>
    <mergeCell ref="I4:J4"/>
    <mergeCell ref="Q86:S86"/>
    <mergeCell ref="B5:B7"/>
    <mergeCell ref="C5:C7"/>
    <mergeCell ref="E5:Q5"/>
    <mergeCell ref="N6:O6"/>
    <mergeCell ref="P6:P7"/>
    <mergeCell ref="Q6:Q7"/>
    <mergeCell ref="J6:J7"/>
  </mergeCells>
  <printOptions horizontalCentered="1"/>
  <pageMargins left="0" right="0" top="0.8267716535433072" bottom="0.3937007874015748" header="0.7086614173228347" footer="0.31496062992125984"/>
  <pageSetup fitToHeight="2" fitToWidth="1" horizontalDpi="600" verticalDpi="600" orientation="landscape" paperSize="9" scale="46" r:id="rId1"/>
  <headerFooter alignWithMargins="0">
    <oddHeader>&amp;R&amp;16Tabulka č. 19
List: &amp;P/&amp;N</oddHeader>
    <oddFooter>&amp;C&amp;16&amp;P+135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workbookViewId="0" topLeftCell="I1">
      <selection activeCell="P1" sqref="P1"/>
    </sheetView>
  </sheetViews>
  <sheetFormatPr defaultColWidth="9.00390625" defaultRowHeight="12.75"/>
  <cols>
    <col min="1" max="1" width="23.50390625" style="0" customWidth="1"/>
    <col min="2" max="2" width="13.625" style="0" customWidth="1"/>
    <col min="3" max="3" width="11.125" style="0" customWidth="1"/>
    <col min="4" max="4" width="10.50390625" style="0" customWidth="1"/>
    <col min="5" max="5" width="15.625" style="0" customWidth="1"/>
    <col min="6" max="6" width="13.00390625" style="0" customWidth="1"/>
    <col min="7" max="7" width="12.625" style="0" customWidth="1"/>
    <col min="8" max="8" width="13.125" style="0" customWidth="1"/>
    <col min="9" max="9" width="12.50390625" style="0" customWidth="1"/>
    <col min="10" max="10" width="13.50390625" style="0" customWidth="1"/>
    <col min="11" max="11" width="11.00390625" style="0" customWidth="1"/>
    <col min="12" max="12" width="11.875" style="0" customWidth="1"/>
    <col min="13" max="13" width="10.875" style="0" customWidth="1"/>
    <col min="14" max="14" width="13.00390625" style="0" customWidth="1"/>
    <col min="15" max="15" width="11.00390625" style="0" customWidth="1"/>
    <col min="16" max="16" width="12.625" style="0" customWidth="1"/>
    <col min="17" max="17" width="11.50390625" style="0" customWidth="1"/>
    <col min="18" max="18" width="10.875" style="0" customWidth="1"/>
    <col min="19" max="19" width="11.50390625" style="0" customWidth="1"/>
    <col min="20" max="20" width="10.50390625" style="0" customWidth="1"/>
    <col min="21" max="22" width="11.375" style="0" customWidth="1"/>
    <col min="23" max="23" width="10.50390625" style="0" customWidth="1"/>
    <col min="24" max="24" width="13.875" style="0" customWidth="1"/>
    <col min="25" max="25" width="12.50390625" style="0" customWidth="1"/>
  </cols>
  <sheetData>
    <row r="1" spans="1:25" ht="21.75" customHeight="1">
      <c r="A1" s="1484" t="s">
        <v>3513</v>
      </c>
      <c r="Y1" s="1342" t="s">
        <v>3720</v>
      </c>
    </row>
    <row r="2" spans="1:25" ht="21.75" customHeight="1">
      <c r="A2" s="1931" t="s">
        <v>3739</v>
      </c>
      <c r="B2" s="1931"/>
      <c r="C2" s="1931"/>
      <c r="D2" s="1931"/>
      <c r="E2" s="1931"/>
      <c r="F2" s="1931"/>
      <c r="G2" s="1931"/>
      <c r="H2" s="1931"/>
      <c r="I2" s="1931"/>
      <c r="J2" s="1931"/>
      <c r="K2" s="1931"/>
      <c r="L2" s="1931"/>
      <c r="M2" s="1931"/>
      <c r="N2" s="1931"/>
      <c r="O2" s="1931"/>
      <c r="P2" s="1931"/>
      <c r="Q2" s="1931"/>
      <c r="R2" s="1931"/>
      <c r="S2" s="1931"/>
      <c r="T2" s="1931"/>
      <c r="U2" s="1931"/>
      <c r="V2" s="1931"/>
      <c r="W2" s="1931"/>
      <c r="X2" s="1931"/>
      <c r="Y2" s="1931"/>
    </row>
    <row r="3" ht="21.75" customHeight="1">
      <c r="A3" s="266"/>
    </row>
    <row r="4" spans="1:25" ht="21.75" customHeight="1" thickBot="1">
      <c r="A4" s="24"/>
      <c r="P4" s="1248"/>
      <c r="Y4" s="272" t="s">
        <v>2575</v>
      </c>
    </row>
    <row r="5" spans="1:25" ht="24" customHeight="1" thickBot="1">
      <c r="A5" s="1670" t="s">
        <v>3325</v>
      </c>
      <c r="B5" s="1935" t="s">
        <v>3727</v>
      </c>
      <c r="C5" s="1936"/>
      <c r="D5" s="1937"/>
      <c r="E5" s="1935" t="s">
        <v>3726</v>
      </c>
      <c r="F5" s="1936"/>
      <c r="G5" s="1937"/>
      <c r="H5" s="1935" t="s">
        <v>3215</v>
      </c>
      <c r="I5" s="1936"/>
      <c r="J5" s="1937"/>
      <c r="K5" s="1678" t="s">
        <v>2578</v>
      </c>
      <c r="L5" s="1679"/>
      <c r="M5" s="1680"/>
      <c r="N5" s="1678" t="s">
        <v>2579</v>
      </c>
      <c r="O5" s="1679"/>
      <c r="P5" s="1680"/>
      <c r="Q5" s="1932" t="s">
        <v>3600</v>
      </c>
      <c r="R5" s="1933"/>
      <c r="S5" s="1934"/>
      <c r="T5" s="1932" t="s">
        <v>2581</v>
      </c>
      <c r="U5" s="1933"/>
      <c r="V5" s="1934"/>
      <c r="W5" s="1932" t="s">
        <v>3725</v>
      </c>
      <c r="X5" s="1933"/>
      <c r="Y5" s="1934"/>
    </row>
    <row r="6" spans="1:25" ht="24" customHeight="1" hidden="1">
      <c r="A6" s="301"/>
      <c r="B6" s="421" t="s">
        <v>3593</v>
      </c>
      <c r="C6" s="421" t="s">
        <v>3594</v>
      </c>
      <c r="D6" s="421" t="s">
        <v>2586</v>
      </c>
      <c r="E6" s="421" t="s">
        <v>3593</v>
      </c>
      <c r="F6" s="421" t="s">
        <v>3594</v>
      </c>
      <c r="G6" s="421" t="s">
        <v>2586</v>
      </c>
      <c r="H6" s="421" t="s">
        <v>3593</v>
      </c>
      <c r="I6" s="421" t="s">
        <v>3594</v>
      </c>
      <c r="J6" s="421" t="s">
        <v>2586</v>
      </c>
      <c r="K6" s="421" t="s">
        <v>3593</v>
      </c>
      <c r="L6" s="421" t="s">
        <v>3594</v>
      </c>
      <c r="M6" s="421" t="s">
        <v>2586</v>
      </c>
      <c r="N6" s="421" t="s">
        <v>3593</v>
      </c>
      <c r="O6" s="421" t="s">
        <v>3594</v>
      </c>
      <c r="P6" s="421" t="s">
        <v>2586</v>
      </c>
      <c r="Q6" s="421" t="s">
        <v>3593</v>
      </c>
      <c r="R6" s="421" t="s">
        <v>3594</v>
      </c>
      <c r="S6" s="421" t="s">
        <v>2586</v>
      </c>
      <c r="T6" s="421" t="s">
        <v>3593</v>
      </c>
      <c r="U6" s="421" t="s">
        <v>3594</v>
      </c>
      <c r="V6" s="421" t="s">
        <v>2586</v>
      </c>
      <c r="W6" s="421" t="s">
        <v>3593</v>
      </c>
      <c r="X6" s="421" t="s">
        <v>3594</v>
      </c>
      <c r="Y6" s="421" t="s">
        <v>2586</v>
      </c>
    </row>
    <row r="7" spans="1:25" ht="24" customHeight="1" thickBot="1">
      <c r="A7" s="407"/>
      <c r="B7" s="428" t="s">
        <v>2584</v>
      </c>
      <c r="C7" s="428" t="s">
        <v>2585</v>
      </c>
      <c r="D7" s="428" t="s">
        <v>2586</v>
      </c>
      <c r="E7" s="428" t="s">
        <v>2584</v>
      </c>
      <c r="F7" s="428" t="s">
        <v>2585</v>
      </c>
      <c r="G7" s="428" t="s">
        <v>2586</v>
      </c>
      <c r="H7" s="428" t="s">
        <v>2584</v>
      </c>
      <c r="I7" s="428" t="s">
        <v>2585</v>
      </c>
      <c r="J7" s="428" t="s">
        <v>2586</v>
      </c>
      <c r="K7" s="428" t="s">
        <v>2584</v>
      </c>
      <c r="L7" s="428" t="s">
        <v>2585</v>
      </c>
      <c r="M7" s="428" t="s">
        <v>2586</v>
      </c>
      <c r="N7" s="428" t="s">
        <v>2584</v>
      </c>
      <c r="O7" s="428" t="s">
        <v>2585</v>
      </c>
      <c r="P7" s="428" t="s">
        <v>2586</v>
      </c>
      <c r="Q7" s="428" t="s">
        <v>2584</v>
      </c>
      <c r="R7" s="428" t="s">
        <v>2585</v>
      </c>
      <c r="S7" s="428" t="s">
        <v>2586</v>
      </c>
      <c r="T7" s="428" t="s">
        <v>2584</v>
      </c>
      <c r="U7" s="428" t="s">
        <v>2585</v>
      </c>
      <c r="V7" s="428" t="s">
        <v>2586</v>
      </c>
      <c r="W7" s="428" t="s">
        <v>2584</v>
      </c>
      <c r="X7" s="428" t="s">
        <v>2585</v>
      </c>
      <c r="Y7" s="428" t="s">
        <v>2586</v>
      </c>
    </row>
    <row r="8" spans="1:25" ht="24" customHeight="1">
      <c r="A8" s="1671" t="s">
        <v>3595</v>
      </c>
      <c r="B8" s="561">
        <v>3970</v>
      </c>
      <c r="C8" s="561">
        <v>3934</v>
      </c>
      <c r="D8" s="563">
        <v>3233.549</v>
      </c>
      <c r="E8" s="561">
        <v>309842</v>
      </c>
      <c r="F8" s="561">
        <v>326405</v>
      </c>
      <c r="G8" s="563">
        <v>325449</v>
      </c>
      <c r="H8" s="561">
        <v>106586</v>
      </c>
      <c r="I8" s="561">
        <v>112019</v>
      </c>
      <c r="J8" s="563">
        <v>111259</v>
      </c>
      <c r="K8" s="561">
        <v>5817</v>
      </c>
      <c r="L8" s="561">
        <v>6288</v>
      </c>
      <c r="M8" s="563">
        <v>6288</v>
      </c>
      <c r="N8" s="561">
        <v>98411</v>
      </c>
      <c r="O8" s="561">
        <v>124035</v>
      </c>
      <c r="P8" s="563">
        <v>118551.3</v>
      </c>
      <c r="Q8" s="1648">
        <v>26590</v>
      </c>
      <c r="R8" s="1652">
        <v>41561</v>
      </c>
      <c r="S8" s="1665">
        <v>41553.604</v>
      </c>
      <c r="T8" s="1654"/>
      <c r="U8" s="1655"/>
      <c r="V8" s="1658"/>
      <c r="W8" s="1662">
        <f>B8+E8+H8+K8+N8+Q8+T8</f>
        <v>551216</v>
      </c>
      <c r="X8" s="1652">
        <f>C8+F8+I8+L8+O8+R8+U8</f>
        <v>614242</v>
      </c>
      <c r="Y8" s="1668">
        <f>D8+G8+J8+M8+P8+S8+V8</f>
        <v>606334.4530000001</v>
      </c>
    </row>
    <row r="9" spans="1:25" ht="24" customHeight="1">
      <c r="A9" s="1671" t="s">
        <v>2670</v>
      </c>
      <c r="B9" s="1012">
        <v>4690</v>
      </c>
      <c r="C9" s="1012">
        <v>8126</v>
      </c>
      <c r="D9" s="503">
        <v>5385.31</v>
      </c>
      <c r="E9" s="1012">
        <v>337826</v>
      </c>
      <c r="F9" s="1012">
        <v>366491</v>
      </c>
      <c r="G9" s="503">
        <v>366238.672</v>
      </c>
      <c r="H9" s="1012">
        <v>116578</v>
      </c>
      <c r="I9" s="1012">
        <v>126584</v>
      </c>
      <c r="J9" s="503">
        <v>126583.343</v>
      </c>
      <c r="K9" s="1012">
        <v>6538</v>
      </c>
      <c r="L9" s="1012">
        <v>7050</v>
      </c>
      <c r="M9" s="503">
        <v>7050</v>
      </c>
      <c r="N9" s="1012">
        <v>98463</v>
      </c>
      <c r="O9" s="1012">
        <v>110707</v>
      </c>
      <c r="P9" s="503">
        <v>117191.368</v>
      </c>
      <c r="Q9" s="1649">
        <v>61648</v>
      </c>
      <c r="R9" s="568">
        <v>70469</v>
      </c>
      <c r="S9" s="1666">
        <v>59685.755</v>
      </c>
      <c r="T9" s="446"/>
      <c r="U9" s="1042"/>
      <c r="V9" s="1659"/>
      <c r="W9" s="1657">
        <f aca="true" t="shared" si="0" ref="W9:Y22">B9+E9+H9+K9+N9+Q9+T9</f>
        <v>625743</v>
      </c>
      <c r="X9" s="568">
        <f t="shared" si="0"/>
        <v>689427</v>
      </c>
      <c r="Y9" s="494">
        <f t="shared" si="0"/>
        <v>682134.448</v>
      </c>
    </row>
    <row r="10" spans="1:25" ht="24" customHeight="1">
      <c r="A10" s="1671" t="s">
        <v>2671</v>
      </c>
      <c r="B10" s="1012">
        <v>4030</v>
      </c>
      <c r="C10" s="1012">
        <v>5101</v>
      </c>
      <c r="D10" s="503">
        <v>2358.29</v>
      </c>
      <c r="E10" s="1012">
        <v>215679</v>
      </c>
      <c r="F10" s="1012">
        <v>234527</v>
      </c>
      <c r="G10" s="503">
        <v>234208.5</v>
      </c>
      <c r="H10" s="1012">
        <v>75741</v>
      </c>
      <c r="I10" s="1012">
        <v>81367</v>
      </c>
      <c r="J10" s="503">
        <v>81327.837</v>
      </c>
      <c r="K10" s="1012">
        <v>4218</v>
      </c>
      <c r="L10" s="1012">
        <v>4559</v>
      </c>
      <c r="M10" s="503">
        <v>4559</v>
      </c>
      <c r="N10" s="1012">
        <v>66917</v>
      </c>
      <c r="O10" s="1012">
        <v>77879</v>
      </c>
      <c r="P10" s="503">
        <v>78778.625</v>
      </c>
      <c r="Q10" s="1649">
        <v>42317</v>
      </c>
      <c r="R10" s="568">
        <v>54130</v>
      </c>
      <c r="S10" s="1666">
        <v>54120.791</v>
      </c>
      <c r="T10" s="446"/>
      <c r="U10" s="1042"/>
      <c r="V10" s="1659"/>
      <c r="W10" s="1657">
        <f t="shared" si="0"/>
        <v>408902</v>
      </c>
      <c r="X10" s="568">
        <f t="shared" si="0"/>
        <v>457563</v>
      </c>
      <c r="Y10" s="494">
        <f t="shared" si="0"/>
        <v>455353.04299999995</v>
      </c>
    </row>
    <row r="11" spans="1:25" ht="24" customHeight="1">
      <c r="A11" s="1671" t="s">
        <v>3327</v>
      </c>
      <c r="B11" s="1012">
        <v>2020</v>
      </c>
      <c r="C11" s="1012">
        <v>2939</v>
      </c>
      <c r="D11" s="503">
        <v>2549.766</v>
      </c>
      <c r="E11" s="1012">
        <v>194669</v>
      </c>
      <c r="F11" s="1012">
        <v>211179</v>
      </c>
      <c r="G11" s="503">
        <v>211179</v>
      </c>
      <c r="H11" s="1012">
        <v>67050</v>
      </c>
      <c r="I11" s="1012">
        <v>72294</v>
      </c>
      <c r="J11" s="503">
        <v>72294</v>
      </c>
      <c r="K11" s="1012">
        <v>3781</v>
      </c>
      <c r="L11" s="1012">
        <v>4081</v>
      </c>
      <c r="M11" s="503">
        <v>4081</v>
      </c>
      <c r="N11" s="1012">
        <v>53637</v>
      </c>
      <c r="O11" s="1012">
        <v>67167</v>
      </c>
      <c r="P11" s="503">
        <v>75531.925</v>
      </c>
      <c r="Q11" s="1649">
        <v>87424</v>
      </c>
      <c r="R11" s="568">
        <v>91253</v>
      </c>
      <c r="S11" s="1666">
        <v>95062.654</v>
      </c>
      <c r="T11" s="446"/>
      <c r="U11" s="1042"/>
      <c r="V11" s="1659"/>
      <c r="W11" s="1657">
        <f t="shared" si="0"/>
        <v>408581</v>
      </c>
      <c r="X11" s="568">
        <f t="shared" si="0"/>
        <v>448913</v>
      </c>
      <c r="Y11" s="494">
        <f t="shared" si="0"/>
        <v>460698.345</v>
      </c>
    </row>
    <row r="12" spans="1:25" ht="24" customHeight="1">
      <c r="A12" s="1671" t="s">
        <v>2673</v>
      </c>
      <c r="B12" s="1012">
        <v>1450</v>
      </c>
      <c r="C12" s="1012">
        <v>2514</v>
      </c>
      <c r="D12" s="503">
        <v>2166.983</v>
      </c>
      <c r="E12" s="1012">
        <v>99208</v>
      </c>
      <c r="F12" s="1012">
        <v>97481</v>
      </c>
      <c r="G12" s="503">
        <v>107507.12</v>
      </c>
      <c r="H12" s="1012">
        <v>33780</v>
      </c>
      <c r="I12" s="1012">
        <v>33046</v>
      </c>
      <c r="J12" s="503">
        <v>36545.212</v>
      </c>
      <c r="K12" s="1012">
        <v>1928</v>
      </c>
      <c r="L12" s="1012">
        <v>1885</v>
      </c>
      <c r="M12" s="503">
        <v>2084.67</v>
      </c>
      <c r="N12" s="1012">
        <v>25128</v>
      </c>
      <c r="O12" s="1012">
        <v>31296</v>
      </c>
      <c r="P12" s="503">
        <v>38156.802</v>
      </c>
      <c r="Q12" s="1649">
        <v>24592</v>
      </c>
      <c r="R12" s="568">
        <v>23979</v>
      </c>
      <c r="S12" s="1666">
        <v>26377.554</v>
      </c>
      <c r="T12" s="446"/>
      <c r="U12" s="1042"/>
      <c r="V12" s="1659"/>
      <c r="W12" s="1657">
        <f t="shared" si="0"/>
        <v>186086</v>
      </c>
      <c r="X12" s="568">
        <f t="shared" si="0"/>
        <v>190201</v>
      </c>
      <c r="Y12" s="494">
        <f t="shared" si="0"/>
        <v>212838.34100000001</v>
      </c>
    </row>
    <row r="13" spans="1:25" ht="24" customHeight="1">
      <c r="A13" s="1671" t="s">
        <v>2674</v>
      </c>
      <c r="B13" s="1012">
        <v>4090</v>
      </c>
      <c r="C13" s="1012">
        <v>4308</v>
      </c>
      <c r="D13" s="503">
        <v>3888.916</v>
      </c>
      <c r="E13" s="1012">
        <v>229084</v>
      </c>
      <c r="F13" s="1012">
        <v>248389</v>
      </c>
      <c r="G13" s="503">
        <v>248069.223</v>
      </c>
      <c r="H13" s="1012">
        <v>79271</v>
      </c>
      <c r="I13" s="1012">
        <v>85461</v>
      </c>
      <c r="J13" s="503">
        <v>85391</v>
      </c>
      <c r="K13" s="1012">
        <v>4434</v>
      </c>
      <c r="L13" s="1012">
        <v>4790</v>
      </c>
      <c r="M13" s="503">
        <v>4790</v>
      </c>
      <c r="N13" s="1012">
        <v>74020</v>
      </c>
      <c r="O13" s="1012">
        <v>78013</v>
      </c>
      <c r="P13" s="503">
        <v>83834.315</v>
      </c>
      <c r="Q13" s="1649">
        <v>63549</v>
      </c>
      <c r="R13" s="568">
        <v>71222</v>
      </c>
      <c r="S13" s="1666">
        <v>57942.029</v>
      </c>
      <c r="T13" s="446"/>
      <c r="U13" s="1042"/>
      <c r="V13" s="1659"/>
      <c r="W13" s="1657">
        <f t="shared" si="0"/>
        <v>454448</v>
      </c>
      <c r="X13" s="568">
        <f t="shared" si="0"/>
        <v>492183</v>
      </c>
      <c r="Y13" s="494">
        <f t="shared" si="0"/>
        <v>483915.48299999995</v>
      </c>
    </row>
    <row r="14" spans="1:25" ht="24" customHeight="1">
      <c r="A14" s="1671" t="s">
        <v>2675</v>
      </c>
      <c r="B14" s="1012">
        <v>1220</v>
      </c>
      <c r="C14" s="1012">
        <v>2232</v>
      </c>
      <c r="D14" s="503">
        <v>2031.156</v>
      </c>
      <c r="E14" s="1012">
        <v>120493</v>
      </c>
      <c r="F14" s="1012">
        <v>130084</v>
      </c>
      <c r="G14" s="503">
        <v>130084</v>
      </c>
      <c r="H14" s="1012">
        <v>41972</v>
      </c>
      <c r="I14" s="1012">
        <v>44983</v>
      </c>
      <c r="J14" s="503">
        <v>44958.92</v>
      </c>
      <c r="K14" s="1012">
        <v>2336</v>
      </c>
      <c r="L14" s="1012">
        <v>2522</v>
      </c>
      <c r="M14" s="503">
        <v>2522</v>
      </c>
      <c r="N14" s="1012">
        <v>32718</v>
      </c>
      <c r="O14" s="1012">
        <v>38305</v>
      </c>
      <c r="P14" s="503">
        <v>43399.093</v>
      </c>
      <c r="Q14" s="1649">
        <v>70360</v>
      </c>
      <c r="R14" s="568">
        <v>85423</v>
      </c>
      <c r="S14" s="1666">
        <v>83205.311</v>
      </c>
      <c r="T14" s="446"/>
      <c r="U14" s="1042"/>
      <c r="V14" s="1659"/>
      <c r="W14" s="1657">
        <f t="shared" si="0"/>
        <v>269099</v>
      </c>
      <c r="X14" s="568">
        <f t="shared" si="0"/>
        <v>303549</v>
      </c>
      <c r="Y14" s="494">
        <f t="shared" si="0"/>
        <v>306200.48</v>
      </c>
    </row>
    <row r="15" spans="1:25" ht="24" customHeight="1">
      <c r="A15" s="1671" t="s">
        <v>3328</v>
      </c>
      <c r="B15" s="1012">
        <v>2090</v>
      </c>
      <c r="C15" s="1012">
        <v>2334</v>
      </c>
      <c r="D15" s="503">
        <v>1516.637</v>
      </c>
      <c r="E15" s="1012">
        <v>150841</v>
      </c>
      <c r="F15" s="1012">
        <v>161777</v>
      </c>
      <c r="G15" s="503">
        <v>161777</v>
      </c>
      <c r="H15" s="1012">
        <v>53247</v>
      </c>
      <c r="I15" s="1012">
        <v>56857</v>
      </c>
      <c r="J15" s="503">
        <v>56727</v>
      </c>
      <c r="K15" s="1012">
        <v>2905</v>
      </c>
      <c r="L15" s="1012">
        <v>3128</v>
      </c>
      <c r="M15" s="503">
        <v>3128</v>
      </c>
      <c r="N15" s="1012">
        <v>48400</v>
      </c>
      <c r="O15" s="1012">
        <v>60195</v>
      </c>
      <c r="P15" s="503">
        <v>65495.172</v>
      </c>
      <c r="Q15" s="1649">
        <v>47973</v>
      </c>
      <c r="R15" s="568">
        <v>64699</v>
      </c>
      <c r="S15" s="1666">
        <v>75922.603</v>
      </c>
      <c r="T15" s="446"/>
      <c r="U15" s="1042"/>
      <c r="V15" s="1659"/>
      <c r="W15" s="1657">
        <f t="shared" si="0"/>
        <v>305456</v>
      </c>
      <c r="X15" s="568">
        <f t="shared" si="0"/>
        <v>348990</v>
      </c>
      <c r="Y15" s="494">
        <f t="shared" si="0"/>
        <v>364566.412</v>
      </c>
    </row>
    <row r="16" spans="1:25" ht="24" customHeight="1">
      <c r="A16" s="1671" t="s">
        <v>2677</v>
      </c>
      <c r="B16" s="1012">
        <v>1950</v>
      </c>
      <c r="C16" s="1012">
        <v>1154</v>
      </c>
      <c r="D16" s="503">
        <v>778.803</v>
      </c>
      <c r="E16" s="1012">
        <v>127236</v>
      </c>
      <c r="F16" s="1012">
        <v>138173</v>
      </c>
      <c r="G16" s="503">
        <v>138123.264</v>
      </c>
      <c r="H16" s="1012">
        <v>45666</v>
      </c>
      <c r="I16" s="1012">
        <v>49085</v>
      </c>
      <c r="J16" s="503">
        <v>49075.936</v>
      </c>
      <c r="K16" s="1012">
        <v>2470</v>
      </c>
      <c r="L16" s="1012">
        <v>2680</v>
      </c>
      <c r="M16" s="503">
        <v>2680</v>
      </c>
      <c r="N16" s="1012">
        <v>42649</v>
      </c>
      <c r="O16" s="1012">
        <v>50252</v>
      </c>
      <c r="P16" s="503">
        <v>50870.186</v>
      </c>
      <c r="Q16" s="1649">
        <v>15346</v>
      </c>
      <c r="R16" s="568">
        <v>16338</v>
      </c>
      <c r="S16" s="1666">
        <v>16493.554</v>
      </c>
      <c r="T16" s="446"/>
      <c r="U16" s="1042"/>
      <c r="V16" s="1659"/>
      <c r="W16" s="1657">
        <f t="shared" si="0"/>
        <v>235317</v>
      </c>
      <c r="X16" s="568">
        <f t="shared" si="0"/>
        <v>257682</v>
      </c>
      <c r="Y16" s="494">
        <f t="shared" si="0"/>
        <v>258021.74300000002</v>
      </c>
    </row>
    <row r="17" spans="1:25" ht="24" customHeight="1">
      <c r="A17" s="1671" t="s">
        <v>2678</v>
      </c>
      <c r="B17" s="1012">
        <v>1340</v>
      </c>
      <c r="C17" s="1012">
        <v>2347</v>
      </c>
      <c r="D17" s="503">
        <v>2176.401</v>
      </c>
      <c r="E17" s="1012">
        <v>170383</v>
      </c>
      <c r="F17" s="1012">
        <v>184234</v>
      </c>
      <c r="G17" s="503">
        <v>184198.498</v>
      </c>
      <c r="H17" s="1012">
        <v>60275</v>
      </c>
      <c r="I17" s="1012">
        <v>64473</v>
      </c>
      <c r="J17" s="503">
        <v>64442.026</v>
      </c>
      <c r="K17" s="1012">
        <v>3298</v>
      </c>
      <c r="L17" s="1012">
        <v>3561</v>
      </c>
      <c r="M17" s="503">
        <v>3561</v>
      </c>
      <c r="N17" s="1012">
        <v>54962</v>
      </c>
      <c r="O17" s="1012">
        <v>59762</v>
      </c>
      <c r="P17" s="503">
        <v>62581.103</v>
      </c>
      <c r="Q17" s="1649">
        <v>27570</v>
      </c>
      <c r="R17" s="568">
        <v>39328</v>
      </c>
      <c r="S17" s="1666">
        <v>29252.29</v>
      </c>
      <c r="T17" s="446"/>
      <c r="U17" s="1042"/>
      <c r="V17" s="1659"/>
      <c r="W17" s="1657">
        <f t="shared" si="0"/>
        <v>317828</v>
      </c>
      <c r="X17" s="568">
        <f t="shared" si="0"/>
        <v>353705</v>
      </c>
      <c r="Y17" s="494">
        <f t="shared" si="0"/>
        <v>346211.31799999997</v>
      </c>
    </row>
    <row r="18" spans="1:25" ht="24" customHeight="1">
      <c r="A18" s="1671" t="s">
        <v>2679</v>
      </c>
      <c r="B18" s="1012">
        <v>4230</v>
      </c>
      <c r="C18" s="1012">
        <v>5350</v>
      </c>
      <c r="D18" s="503">
        <v>2592.434</v>
      </c>
      <c r="E18" s="1012">
        <v>274263</v>
      </c>
      <c r="F18" s="1012">
        <v>295457</v>
      </c>
      <c r="G18" s="503">
        <v>296657.032</v>
      </c>
      <c r="H18" s="1012">
        <v>96392</v>
      </c>
      <c r="I18" s="1012">
        <v>101523</v>
      </c>
      <c r="J18" s="503">
        <v>101984.026</v>
      </c>
      <c r="K18" s="1012">
        <v>5262</v>
      </c>
      <c r="L18" s="1012">
        <v>5689</v>
      </c>
      <c r="M18" s="503">
        <v>5719.511</v>
      </c>
      <c r="N18" s="1012">
        <v>78117</v>
      </c>
      <c r="O18" s="1012">
        <v>77204</v>
      </c>
      <c r="P18" s="503">
        <v>91105.186</v>
      </c>
      <c r="Q18" s="1649">
        <v>41309</v>
      </c>
      <c r="R18" s="568">
        <v>64548</v>
      </c>
      <c r="S18" s="1666">
        <v>76741.191</v>
      </c>
      <c r="T18" s="446"/>
      <c r="U18" s="1042"/>
      <c r="V18" s="1659"/>
      <c r="W18" s="1657">
        <f t="shared" si="0"/>
        <v>499573</v>
      </c>
      <c r="X18" s="568">
        <f t="shared" si="0"/>
        <v>549771</v>
      </c>
      <c r="Y18" s="494">
        <f t="shared" si="0"/>
        <v>574799.38</v>
      </c>
    </row>
    <row r="19" spans="1:25" ht="24" customHeight="1">
      <c r="A19" s="1671" t="s">
        <v>2680</v>
      </c>
      <c r="B19" s="1012">
        <v>630</v>
      </c>
      <c r="C19" s="1012">
        <v>1945</v>
      </c>
      <c r="D19" s="503">
        <v>1559.072</v>
      </c>
      <c r="E19" s="1012">
        <v>130721</v>
      </c>
      <c r="F19" s="1012">
        <v>141339</v>
      </c>
      <c r="G19" s="503">
        <v>141332.896</v>
      </c>
      <c r="H19" s="1012">
        <v>45578</v>
      </c>
      <c r="I19" s="1012">
        <v>49185</v>
      </c>
      <c r="J19" s="503">
        <v>49151.728</v>
      </c>
      <c r="K19" s="1012">
        <v>2527</v>
      </c>
      <c r="L19" s="1012">
        <v>2732</v>
      </c>
      <c r="M19" s="503">
        <v>2731.7</v>
      </c>
      <c r="N19" s="1012">
        <v>42910</v>
      </c>
      <c r="O19" s="1012">
        <v>47634</v>
      </c>
      <c r="P19" s="503">
        <v>48619.539</v>
      </c>
      <c r="Q19" s="1649">
        <v>14070</v>
      </c>
      <c r="R19" s="568">
        <v>15670</v>
      </c>
      <c r="S19" s="1666">
        <v>16785.196</v>
      </c>
      <c r="T19" s="446"/>
      <c r="U19" s="1042"/>
      <c r="V19" s="1659"/>
      <c r="W19" s="1657">
        <f t="shared" si="0"/>
        <v>236436</v>
      </c>
      <c r="X19" s="568">
        <f t="shared" si="0"/>
        <v>258505</v>
      </c>
      <c r="Y19" s="494">
        <f t="shared" si="0"/>
        <v>260180.131</v>
      </c>
    </row>
    <row r="20" spans="1:25" ht="24" customHeight="1">
      <c r="A20" s="1671" t="s">
        <v>2681</v>
      </c>
      <c r="B20" s="1012">
        <v>2080</v>
      </c>
      <c r="C20" s="1012">
        <v>2365</v>
      </c>
      <c r="D20" s="503">
        <v>1684.2</v>
      </c>
      <c r="E20" s="1012">
        <v>173520</v>
      </c>
      <c r="F20" s="1012">
        <v>188369</v>
      </c>
      <c r="G20" s="503">
        <v>188288.518</v>
      </c>
      <c r="H20" s="1012">
        <v>59725</v>
      </c>
      <c r="I20" s="1012">
        <v>64769</v>
      </c>
      <c r="J20" s="503">
        <v>64668.979</v>
      </c>
      <c r="K20" s="1012">
        <v>3361</v>
      </c>
      <c r="L20" s="1012">
        <v>3639</v>
      </c>
      <c r="M20" s="503">
        <v>3636.42</v>
      </c>
      <c r="N20" s="1012">
        <v>49660</v>
      </c>
      <c r="O20" s="1012">
        <v>59801</v>
      </c>
      <c r="P20" s="503">
        <v>58614.243</v>
      </c>
      <c r="Q20" s="1649">
        <v>35430</v>
      </c>
      <c r="R20" s="568">
        <v>47514</v>
      </c>
      <c r="S20" s="1666">
        <v>52586.331</v>
      </c>
      <c r="T20" s="446"/>
      <c r="U20" s="1042"/>
      <c r="V20" s="1659"/>
      <c r="W20" s="1657">
        <f t="shared" si="0"/>
        <v>323776</v>
      </c>
      <c r="X20" s="568">
        <f t="shared" si="0"/>
        <v>366457</v>
      </c>
      <c r="Y20" s="494">
        <f t="shared" si="0"/>
        <v>369478.69100000005</v>
      </c>
    </row>
    <row r="21" spans="1:25" ht="24" customHeight="1">
      <c r="A21" s="1671" t="s">
        <v>2682</v>
      </c>
      <c r="B21" s="1012">
        <v>1800</v>
      </c>
      <c r="C21" s="1012">
        <v>3572</v>
      </c>
      <c r="D21" s="503">
        <v>2919.918</v>
      </c>
      <c r="E21" s="1012">
        <v>295019</v>
      </c>
      <c r="F21" s="1012">
        <v>317627</v>
      </c>
      <c r="G21" s="503">
        <v>317218.019</v>
      </c>
      <c r="H21" s="1012">
        <v>103329</v>
      </c>
      <c r="I21" s="1012">
        <v>110127</v>
      </c>
      <c r="J21" s="503">
        <v>109399.451</v>
      </c>
      <c r="K21" s="1012">
        <v>5590</v>
      </c>
      <c r="L21" s="1012">
        <v>6030</v>
      </c>
      <c r="M21" s="503">
        <v>6030</v>
      </c>
      <c r="N21" s="1249">
        <v>82424</v>
      </c>
      <c r="O21" s="1012">
        <v>96294</v>
      </c>
      <c r="P21" s="1664">
        <v>101359.102</v>
      </c>
      <c r="Q21" s="1649">
        <v>30109</v>
      </c>
      <c r="R21" s="568">
        <v>45222</v>
      </c>
      <c r="S21" s="1666">
        <v>44255.294</v>
      </c>
      <c r="T21" s="446"/>
      <c r="U21" s="1042"/>
      <c r="V21" s="1659"/>
      <c r="W21" s="557">
        <f t="shared" si="0"/>
        <v>518271</v>
      </c>
      <c r="X21" s="524">
        <f t="shared" si="0"/>
        <v>578872</v>
      </c>
      <c r="Y21" s="504">
        <f t="shared" si="0"/>
        <v>581181.784</v>
      </c>
    </row>
    <row r="22" spans="1:25" ht="24" customHeight="1">
      <c r="A22" s="1672" t="s">
        <v>3596</v>
      </c>
      <c r="B22" s="1250">
        <v>12631</v>
      </c>
      <c r="C22" s="1250">
        <v>0</v>
      </c>
      <c r="D22" s="518">
        <v>0</v>
      </c>
      <c r="E22" s="1250">
        <v>0</v>
      </c>
      <c r="F22" s="1250">
        <v>0</v>
      </c>
      <c r="G22" s="518">
        <v>0</v>
      </c>
      <c r="H22" s="1250">
        <v>0</v>
      </c>
      <c r="I22" s="1250">
        <v>0</v>
      </c>
      <c r="J22" s="518">
        <v>0</v>
      </c>
      <c r="K22" s="1250">
        <v>0</v>
      </c>
      <c r="L22" s="1250">
        <v>0</v>
      </c>
      <c r="M22" s="518">
        <v>0</v>
      </c>
      <c r="N22" s="1253">
        <v>500</v>
      </c>
      <c r="O22" s="1250">
        <v>0</v>
      </c>
      <c r="P22" s="518">
        <v>0</v>
      </c>
      <c r="Q22" s="1649">
        <v>72924</v>
      </c>
      <c r="R22" s="568"/>
      <c r="S22" s="1666"/>
      <c r="T22" s="446"/>
      <c r="U22" s="1042"/>
      <c r="V22" s="1659"/>
      <c r="W22" s="557">
        <f t="shared" si="0"/>
        <v>86055</v>
      </c>
      <c r="X22" s="524">
        <f t="shared" si="0"/>
        <v>0</v>
      </c>
      <c r="Y22" s="504">
        <f t="shared" si="0"/>
        <v>0</v>
      </c>
    </row>
    <row r="23" spans="1:25" ht="24" customHeight="1" thickBot="1">
      <c r="A23" s="1673" t="s">
        <v>3597</v>
      </c>
      <c r="B23" s="571">
        <f aca="true" t="shared" si="1" ref="B23:Y23">SUM(B8:B22)</f>
        <v>48221</v>
      </c>
      <c r="C23" s="571">
        <f t="shared" si="1"/>
        <v>48221</v>
      </c>
      <c r="D23" s="1663">
        <f t="shared" si="1"/>
        <v>34841.435000000005</v>
      </c>
      <c r="E23" s="571">
        <f t="shared" si="1"/>
        <v>2828784</v>
      </c>
      <c r="F23" s="571">
        <f t="shared" si="1"/>
        <v>3041532</v>
      </c>
      <c r="G23" s="1663">
        <f t="shared" si="1"/>
        <v>3050330.742</v>
      </c>
      <c r="H23" s="571">
        <f t="shared" si="1"/>
        <v>985190</v>
      </c>
      <c r="I23" s="571">
        <f t="shared" si="1"/>
        <v>1051773</v>
      </c>
      <c r="J23" s="1663">
        <f t="shared" si="1"/>
        <v>1053808.458</v>
      </c>
      <c r="K23" s="571">
        <f t="shared" si="1"/>
        <v>54465</v>
      </c>
      <c r="L23" s="571">
        <f t="shared" si="1"/>
        <v>58634</v>
      </c>
      <c r="M23" s="1663">
        <f t="shared" si="1"/>
        <v>58861.30099999999</v>
      </c>
      <c r="N23" s="571">
        <f t="shared" si="1"/>
        <v>848916</v>
      </c>
      <c r="O23" s="571">
        <f t="shared" si="1"/>
        <v>978544</v>
      </c>
      <c r="P23" s="1663">
        <f t="shared" si="1"/>
        <v>1034087.959</v>
      </c>
      <c r="Q23" s="1650">
        <f t="shared" si="1"/>
        <v>661211</v>
      </c>
      <c r="R23" s="1653">
        <f t="shared" si="1"/>
        <v>731356</v>
      </c>
      <c r="S23" s="1667">
        <f t="shared" si="1"/>
        <v>729984.157</v>
      </c>
      <c r="T23" s="1653">
        <f t="shared" si="1"/>
        <v>0</v>
      </c>
      <c r="U23" s="1656">
        <f t="shared" si="1"/>
        <v>0</v>
      </c>
      <c r="V23" s="1653">
        <f t="shared" si="1"/>
        <v>0</v>
      </c>
      <c r="W23" s="1656">
        <f t="shared" si="1"/>
        <v>5426787</v>
      </c>
      <c r="X23" s="1653">
        <f t="shared" si="1"/>
        <v>5910060</v>
      </c>
      <c r="Y23" s="1669">
        <f t="shared" si="1"/>
        <v>5961914.051999999</v>
      </c>
    </row>
    <row r="24" spans="1:25" ht="24" customHeight="1">
      <c r="A24" s="1671"/>
      <c r="B24" s="1012"/>
      <c r="C24" s="1012"/>
      <c r="D24" s="503"/>
      <c r="E24" s="1012"/>
      <c r="F24" s="1012"/>
      <c r="G24" s="503"/>
      <c r="H24" s="1012"/>
      <c r="I24" s="1012"/>
      <c r="J24" s="503"/>
      <c r="K24" s="1012"/>
      <c r="L24" s="1012"/>
      <c r="M24" s="503"/>
      <c r="N24" s="1012"/>
      <c r="O24" s="1012"/>
      <c r="P24" s="503"/>
      <c r="Q24" s="1651"/>
      <c r="R24" s="1654"/>
      <c r="S24" s="1665"/>
      <c r="T24" s="1654"/>
      <c r="U24" s="1655"/>
      <c r="V24" s="1654"/>
      <c r="W24" s="1655"/>
      <c r="X24" s="1654"/>
      <c r="Y24" s="1668"/>
    </row>
    <row r="25" spans="1:25" ht="24" customHeight="1">
      <c r="A25" s="1674" t="s">
        <v>3598</v>
      </c>
      <c r="B25" s="1012">
        <v>200</v>
      </c>
      <c r="C25" s="1012">
        <v>200</v>
      </c>
      <c r="D25" s="503">
        <v>78.353</v>
      </c>
      <c r="E25" s="1012">
        <v>10476</v>
      </c>
      <c r="F25" s="1012">
        <v>10918</v>
      </c>
      <c r="G25" s="503">
        <v>10902.208</v>
      </c>
      <c r="H25" s="1012">
        <v>3564</v>
      </c>
      <c r="I25" s="1012">
        <v>3712</v>
      </c>
      <c r="J25" s="503">
        <v>3705.912</v>
      </c>
      <c r="K25" s="1012">
        <v>204</v>
      </c>
      <c r="L25" s="1012">
        <v>212</v>
      </c>
      <c r="M25" s="503">
        <v>212</v>
      </c>
      <c r="N25" s="1012">
        <v>3861</v>
      </c>
      <c r="O25" s="1012">
        <v>6328</v>
      </c>
      <c r="P25" s="503">
        <v>6357.76</v>
      </c>
      <c r="Q25" s="1649">
        <v>16630</v>
      </c>
      <c r="R25" s="568">
        <v>1587</v>
      </c>
      <c r="S25" s="1666">
        <v>1586.23</v>
      </c>
      <c r="T25" s="446"/>
      <c r="U25" s="1042"/>
      <c r="V25" s="1659"/>
      <c r="W25" s="1657">
        <f aca="true" t="shared" si="2" ref="W25:Y26">B25+E25+H25+K25+N25+Q25+T25</f>
        <v>34935</v>
      </c>
      <c r="X25" s="568">
        <f t="shared" si="2"/>
        <v>22957</v>
      </c>
      <c r="Y25" s="494">
        <f t="shared" si="2"/>
        <v>22842.463</v>
      </c>
    </row>
    <row r="26" spans="1:25" ht="24" customHeight="1">
      <c r="A26" s="1675" t="s">
        <v>3599</v>
      </c>
      <c r="B26" s="1012">
        <v>1500</v>
      </c>
      <c r="C26" s="1012">
        <v>1500</v>
      </c>
      <c r="D26" s="503">
        <v>728.41</v>
      </c>
      <c r="E26" s="1012">
        <v>196058</v>
      </c>
      <c r="F26" s="1012">
        <v>204341</v>
      </c>
      <c r="G26" s="503">
        <v>202786.901</v>
      </c>
      <c r="H26" s="1012">
        <v>67044</v>
      </c>
      <c r="I26" s="1012">
        <v>69312</v>
      </c>
      <c r="J26" s="503">
        <v>69177.762</v>
      </c>
      <c r="K26" s="1012">
        <v>3767</v>
      </c>
      <c r="L26" s="1012">
        <v>3907</v>
      </c>
      <c r="M26" s="503">
        <v>3905.6</v>
      </c>
      <c r="N26" s="1012">
        <v>383149</v>
      </c>
      <c r="O26" s="1012">
        <v>273067</v>
      </c>
      <c r="P26" s="503">
        <v>273704.526</v>
      </c>
      <c r="Q26" s="1649">
        <v>154445</v>
      </c>
      <c r="R26" s="568">
        <v>217675</v>
      </c>
      <c r="S26" s="1666">
        <v>162543.408</v>
      </c>
      <c r="T26" s="568">
        <v>9190</v>
      </c>
      <c r="U26" s="1657">
        <v>9590</v>
      </c>
      <c r="V26" s="1660">
        <v>9589.869</v>
      </c>
      <c r="W26" s="1657">
        <f t="shared" si="2"/>
        <v>815153</v>
      </c>
      <c r="X26" s="568">
        <f t="shared" si="2"/>
        <v>779392</v>
      </c>
      <c r="Y26" s="494">
        <f t="shared" si="2"/>
        <v>722436.476</v>
      </c>
    </row>
    <row r="27" spans="1:25" ht="24" customHeight="1" thickBot="1">
      <c r="A27" s="1673" t="s">
        <v>2784</v>
      </c>
      <c r="B27" s="571">
        <f>SUM(B23:B26)</f>
        <v>49921</v>
      </c>
      <c r="C27" s="571">
        <f aca="true" t="shared" si="3" ref="C27:Y27">SUM(C23:C26)</f>
        <v>49921</v>
      </c>
      <c r="D27" s="1663">
        <f t="shared" si="3"/>
        <v>35648.19800000001</v>
      </c>
      <c r="E27" s="571">
        <f t="shared" si="3"/>
        <v>3035318</v>
      </c>
      <c r="F27" s="571">
        <f t="shared" si="3"/>
        <v>3256791</v>
      </c>
      <c r="G27" s="1663">
        <f t="shared" si="3"/>
        <v>3264019.8510000003</v>
      </c>
      <c r="H27" s="571">
        <f t="shared" si="3"/>
        <v>1055798</v>
      </c>
      <c r="I27" s="571">
        <f>SUM(I23:I26)</f>
        <v>1124797</v>
      </c>
      <c r="J27" s="1663">
        <f t="shared" si="3"/>
        <v>1126692.1320000002</v>
      </c>
      <c r="K27" s="571">
        <f t="shared" si="3"/>
        <v>58436</v>
      </c>
      <c r="L27" s="571">
        <f t="shared" si="3"/>
        <v>62753</v>
      </c>
      <c r="M27" s="1663">
        <f t="shared" si="3"/>
        <v>62978.90099999999</v>
      </c>
      <c r="N27" s="571">
        <f t="shared" si="3"/>
        <v>1235926</v>
      </c>
      <c r="O27" s="571">
        <f t="shared" si="3"/>
        <v>1257939</v>
      </c>
      <c r="P27" s="1663">
        <f t="shared" si="3"/>
        <v>1314150.245</v>
      </c>
      <c r="Q27" s="1650">
        <f t="shared" si="3"/>
        <v>832286</v>
      </c>
      <c r="R27" s="1653">
        <f t="shared" si="3"/>
        <v>950618</v>
      </c>
      <c r="S27" s="1667">
        <f t="shared" si="3"/>
        <v>894113.7949999999</v>
      </c>
      <c r="T27" s="1653">
        <f t="shared" si="3"/>
        <v>9190</v>
      </c>
      <c r="U27" s="1656">
        <f t="shared" si="3"/>
        <v>9590</v>
      </c>
      <c r="V27" s="1661">
        <f t="shared" si="3"/>
        <v>9589.869</v>
      </c>
      <c r="W27" s="1656">
        <f t="shared" si="3"/>
        <v>6276875</v>
      </c>
      <c r="X27" s="1653">
        <f t="shared" si="3"/>
        <v>6712409</v>
      </c>
      <c r="Y27" s="1669">
        <f t="shared" si="3"/>
        <v>6707192.990999999</v>
      </c>
    </row>
    <row r="28" spans="1:16" ht="21.75" customHeight="1">
      <c r="A28" s="1251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</row>
    <row r="29" spans="1:16" ht="21.75" customHeight="1">
      <c r="A29" s="1677" t="s">
        <v>2717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</row>
    <row r="30" spans="1:16" ht="21.75" customHeight="1">
      <c r="A30" s="1340" t="s">
        <v>2718</v>
      </c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</row>
    <row r="31" ht="21.75" customHeight="1">
      <c r="A31" s="1340" t="s">
        <v>3219</v>
      </c>
    </row>
    <row r="32" ht="31.5" customHeight="1"/>
    <row r="33" spans="1:25" ht="21.75" customHeight="1">
      <c r="A33" s="1341" t="s">
        <v>3601</v>
      </c>
      <c r="L33" s="1210"/>
      <c r="N33" s="1210"/>
      <c r="O33" s="1210"/>
      <c r="P33" s="1210"/>
      <c r="S33" s="1341" t="s">
        <v>3602</v>
      </c>
      <c r="X33" s="1858" t="s">
        <v>3510</v>
      </c>
      <c r="Y33" s="1858"/>
    </row>
    <row r="34" spans="12:16" ht="12.75">
      <c r="L34" s="1210"/>
      <c r="N34" s="1210"/>
      <c r="O34" s="1210"/>
      <c r="P34" s="1210"/>
    </row>
    <row r="35" spans="12:16" ht="12.75">
      <c r="L35" s="1210"/>
      <c r="N35" s="1210"/>
      <c r="O35" s="1210"/>
      <c r="P35" s="1210"/>
    </row>
    <row r="36" spans="12:16" ht="12.75">
      <c r="L36" s="1210"/>
      <c r="N36" s="1210"/>
      <c r="O36" s="1210"/>
      <c r="P36" s="1210"/>
    </row>
    <row r="37" spans="12:16" ht="12.75">
      <c r="L37" s="1210"/>
      <c r="N37" s="1210"/>
      <c r="O37" s="1210"/>
      <c r="P37" s="1210"/>
    </row>
    <row r="38" spans="12:16" ht="12.75">
      <c r="L38" s="1210"/>
      <c r="N38" s="1210"/>
      <c r="O38" s="1210"/>
      <c r="P38" s="1210"/>
    </row>
    <row r="39" spans="12:16" ht="12.75">
      <c r="L39" s="1210"/>
      <c r="N39" s="1210"/>
      <c r="O39" s="1210"/>
      <c r="P39" s="1210"/>
    </row>
    <row r="40" spans="12:16" ht="12.75">
      <c r="L40" s="1210"/>
      <c r="N40" s="1210"/>
      <c r="O40" s="1210"/>
      <c r="P40" s="1210"/>
    </row>
    <row r="41" spans="12:16" ht="12.75">
      <c r="L41" s="1210"/>
      <c r="N41" s="1210"/>
      <c r="O41" s="1210"/>
      <c r="P41" s="1210"/>
    </row>
    <row r="42" spans="12:16" ht="12.75">
      <c r="L42" s="1210"/>
      <c r="N42" s="1210"/>
      <c r="O42" s="1210"/>
      <c r="P42" s="1210"/>
    </row>
    <row r="43" spans="12:16" ht="12.75">
      <c r="L43" s="1210"/>
      <c r="M43" s="1252"/>
      <c r="N43" s="1210"/>
      <c r="O43" s="1210"/>
      <c r="P43" s="1210"/>
    </row>
    <row r="44" spans="12:16" ht="12.75">
      <c r="L44" s="1210"/>
      <c r="N44" s="1210"/>
      <c r="O44" s="1210"/>
      <c r="P44" s="1210"/>
    </row>
  </sheetData>
  <mergeCells count="8">
    <mergeCell ref="X33:Y33"/>
    <mergeCell ref="A2:Y2"/>
    <mergeCell ref="W5:Y5"/>
    <mergeCell ref="T5:V5"/>
    <mergeCell ref="Q5:S5"/>
    <mergeCell ref="H5:J5"/>
    <mergeCell ref="E5:G5"/>
    <mergeCell ref="B5:D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3" r:id="rId1"/>
  <headerFooter alignWithMargins="0">
    <oddFooter>&amp;C&amp;14&amp;P+137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3"/>
  <sheetViews>
    <sheetView workbookViewId="0" topLeftCell="G1">
      <selection activeCell="Q12" sqref="Q12"/>
    </sheetView>
  </sheetViews>
  <sheetFormatPr defaultColWidth="9.00390625" defaultRowHeight="19.5" customHeight="1"/>
  <cols>
    <col min="1" max="1" width="4.375" style="144" customWidth="1"/>
    <col min="2" max="2" width="31.875" style="144" customWidth="1"/>
    <col min="3" max="4" width="9.50390625" style="144" customWidth="1"/>
    <col min="5" max="5" width="9.875" style="144" customWidth="1"/>
    <col min="6" max="7" width="9.50390625" style="144" customWidth="1"/>
    <col min="8" max="8" width="9.875" style="144" customWidth="1"/>
    <col min="9" max="10" width="9.50390625" style="144" customWidth="1"/>
    <col min="11" max="11" width="9.875" style="144" customWidth="1"/>
    <col min="12" max="13" width="9.50390625" style="144" customWidth="1"/>
    <col min="14" max="14" width="9.875" style="144" customWidth="1"/>
    <col min="15" max="16" width="9.50390625" style="144" customWidth="1"/>
    <col min="17" max="17" width="9.875" style="144" customWidth="1"/>
    <col min="18" max="19" width="10.625" style="144" customWidth="1"/>
    <col min="20" max="20" width="11.00390625" style="144" customWidth="1"/>
    <col min="21" max="22" width="9.50390625" style="144" customWidth="1"/>
    <col min="23" max="23" width="9.875" style="144" customWidth="1"/>
    <col min="24" max="25" width="9.50390625" style="144" customWidth="1"/>
    <col min="26" max="26" width="9.875" style="144" customWidth="1"/>
    <col min="27" max="27" width="2.625" style="144" customWidth="1"/>
    <col min="28" max="28" width="11.50390625" style="181" bestFit="1" customWidth="1"/>
    <col min="29" max="16384" width="9.125" style="144" customWidth="1"/>
  </cols>
  <sheetData>
    <row r="2" spans="2:26" ht="19.5" customHeight="1">
      <c r="B2" s="1340" t="s">
        <v>3513</v>
      </c>
      <c r="Y2" s="1938" t="s">
        <v>3511</v>
      </c>
      <c r="Z2" s="1938"/>
    </row>
    <row r="3" spans="2:26" ht="19.5" customHeight="1">
      <c r="B3" s="1939" t="s">
        <v>2574</v>
      </c>
      <c r="C3" s="1939"/>
      <c r="D3" s="1939"/>
      <c r="E3" s="1939"/>
      <c r="F3" s="1939"/>
      <c r="G3" s="1939"/>
      <c r="H3" s="1939"/>
      <c r="I3" s="1939"/>
      <c r="J3" s="1939"/>
      <c r="K3" s="1939"/>
      <c r="L3" s="1939"/>
      <c r="M3" s="1939"/>
      <c r="N3" s="1939"/>
      <c r="O3" s="1939"/>
      <c r="P3" s="1939"/>
      <c r="Q3" s="1939"/>
      <c r="R3" s="1939"/>
      <c r="S3" s="1939"/>
      <c r="T3" s="1939"/>
      <c r="U3" s="1939"/>
      <c r="V3" s="1939"/>
      <c r="W3" s="1939"/>
      <c r="X3" s="1939"/>
      <c r="Y3" s="1939"/>
      <c r="Z3" s="1939"/>
    </row>
    <row r="5" spans="2:31" ht="19.5" customHeight="1" thickBot="1">
      <c r="B5" s="182"/>
      <c r="C5" s="182"/>
      <c r="D5" s="182"/>
      <c r="E5" s="182"/>
      <c r="R5" s="183"/>
      <c r="S5" s="183"/>
      <c r="T5" s="183"/>
      <c r="U5" s="183"/>
      <c r="V5" s="183"/>
      <c r="W5" s="184"/>
      <c r="X5" s="183"/>
      <c r="Y5" s="183"/>
      <c r="Z5" s="1676" t="s">
        <v>2575</v>
      </c>
      <c r="AA5" s="183"/>
      <c r="AB5" s="185"/>
      <c r="AC5" s="183"/>
      <c r="AD5" s="183"/>
      <c r="AE5" s="183"/>
    </row>
    <row r="6" spans="2:31" ht="27.75" customHeight="1" thickBot="1">
      <c r="B6" s="186"/>
      <c r="C6" s="1940" t="s">
        <v>2576</v>
      </c>
      <c r="D6" s="1941"/>
      <c r="E6" s="1942"/>
      <c r="F6" s="1943" t="s">
        <v>2577</v>
      </c>
      <c r="G6" s="1944"/>
      <c r="H6" s="1945"/>
      <c r="I6" s="189"/>
      <c r="J6" s="188" t="s">
        <v>3215</v>
      </c>
      <c r="K6" s="190"/>
      <c r="L6" s="189"/>
      <c r="M6" s="188" t="s">
        <v>2578</v>
      </c>
      <c r="N6" s="191"/>
      <c r="O6" s="190"/>
      <c r="P6" s="188" t="s">
        <v>2579</v>
      </c>
      <c r="Q6" s="191"/>
      <c r="R6" s="1946" t="s">
        <v>2580</v>
      </c>
      <c r="S6" s="1947"/>
      <c r="T6" s="1948"/>
      <c r="U6" s="1943" t="s">
        <v>2581</v>
      </c>
      <c r="V6" s="1944"/>
      <c r="W6" s="1945"/>
      <c r="X6" s="187"/>
      <c r="Y6" s="188" t="s">
        <v>2582</v>
      </c>
      <c r="Z6" s="192"/>
      <c r="AA6" s="193"/>
      <c r="AB6" s="185"/>
      <c r="AC6" s="183"/>
      <c r="AD6" s="183"/>
      <c r="AE6" s="183"/>
    </row>
    <row r="7" spans="2:31" ht="27.75" customHeight="1">
      <c r="B7" s="194" t="s">
        <v>2583</v>
      </c>
      <c r="C7" s="195" t="s">
        <v>2584</v>
      </c>
      <c r="D7" s="196" t="s">
        <v>2585</v>
      </c>
      <c r="E7" s="197" t="s">
        <v>2586</v>
      </c>
      <c r="F7" s="198" t="s">
        <v>2584</v>
      </c>
      <c r="G7" s="199" t="s">
        <v>2585</v>
      </c>
      <c r="H7" s="200" t="s">
        <v>2586</v>
      </c>
      <c r="I7" s="198" t="s">
        <v>2584</v>
      </c>
      <c r="J7" s="196" t="s">
        <v>2585</v>
      </c>
      <c r="K7" s="200" t="s">
        <v>2586</v>
      </c>
      <c r="L7" s="198" t="s">
        <v>2584</v>
      </c>
      <c r="M7" s="196" t="s">
        <v>2585</v>
      </c>
      <c r="N7" s="200" t="s">
        <v>2586</v>
      </c>
      <c r="O7" s="198" t="s">
        <v>2584</v>
      </c>
      <c r="P7" s="196" t="s">
        <v>2585</v>
      </c>
      <c r="Q7" s="200" t="s">
        <v>2586</v>
      </c>
      <c r="R7" s="198" t="s">
        <v>2584</v>
      </c>
      <c r="S7" s="199" t="s">
        <v>2585</v>
      </c>
      <c r="T7" s="195" t="s">
        <v>2586</v>
      </c>
      <c r="U7" s="201" t="s">
        <v>2584</v>
      </c>
      <c r="V7" s="202" t="s">
        <v>2585</v>
      </c>
      <c r="W7" s="200" t="s">
        <v>2586</v>
      </c>
      <c r="X7" s="201" t="s">
        <v>2584</v>
      </c>
      <c r="Y7" s="202" t="s">
        <v>2585</v>
      </c>
      <c r="Z7" s="200" t="s">
        <v>2586</v>
      </c>
      <c r="AA7" s="193"/>
      <c r="AB7" s="203"/>
      <c r="AC7" s="193"/>
      <c r="AD7" s="193"/>
      <c r="AE7" s="193"/>
    </row>
    <row r="8" spans="2:31" ht="27.75" customHeight="1" thickBot="1">
      <c r="B8" s="204"/>
      <c r="C8" s="205"/>
      <c r="D8" s="206"/>
      <c r="E8" s="207"/>
      <c r="F8" s="208"/>
      <c r="G8" s="209"/>
      <c r="H8" s="210"/>
      <c r="I8" s="211"/>
      <c r="J8" s="212"/>
      <c r="K8" s="213"/>
      <c r="L8" s="214"/>
      <c r="M8" s="215"/>
      <c r="N8" s="216"/>
      <c r="O8" s="211"/>
      <c r="P8" s="215"/>
      <c r="Q8" s="216"/>
      <c r="R8" s="215"/>
      <c r="S8" s="217"/>
      <c r="T8" s="218"/>
      <c r="U8" s="214"/>
      <c r="V8" s="211"/>
      <c r="W8" s="210"/>
      <c r="X8" s="219"/>
      <c r="Y8" s="206"/>
      <c r="Z8" s="210"/>
      <c r="AA8" s="220"/>
      <c r="AB8" s="185"/>
      <c r="AC8" s="183"/>
      <c r="AD8" s="183"/>
      <c r="AE8" s="183"/>
    </row>
    <row r="9" spans="2:31" s="221" customFormat="1" ht="27.75" customHeight="1">
      <c r="B9" s="222" t="s">
        <v>2587</v>
      </c>
      <c r="C9" s="223">
        <v>850</v>
      </c>
      <c r="D9" s="224">
        <v>80</v>
      </c>
      <c r="E9" s="225">
        <v>190.105</v>
      </c>
      <c r="F9" s="226">
        <v>86149</v>
      </c>
      <c r="G9" s="227">
        <v>91000</v>
      </c>
      <c r="H9" s="228">
        <v>91298.344</v>
      </c>
      <c r="I9" s="229">
        <v>29657</v>
      </c>
      <c r="J9" s="230">
        <v>31407</v>
      </c>
      <c r="K9" s="231">
        <v>31393.099</v>
      </c>
      <c r="L9" s="232">
        <v>1695</v>
      </c>
      <c r="M9" s="233">
        <v>1784</v>
      </c>
      <c r="N9" s="228">
        <v>1784</v>
      </c>
      <c r="O9" s="229">
        <v>68684</v>
      </c>
      <c r="P9" s="230">
        <v>79744</v>
      </c>
      <c r="Q9" s="234">
        <v>78117.818</v>
      </c>
      <c r="R9" s="230">
        <v>7800</v>
      </c>
      <c r="S9" s="227">
        <v>7800</v>
      </c>
      <c r="T9" s="230">
        <v>7760.054</v>
      </c>
      <c r="U9" s="232">
        <v>0</v>
      </c>
      <c r="V9" s="229">
        <v>0</v>
      </c>
      <c r="W9" s="228">
        <v>0</v>
      </c>
      <c r="X9" s="235">
        <f aca="true" t="shared" si="0" ref="X9:Z14">U9+R9+O9+L9+I9+F9+C9</f>
        <v>194835</v>
      </c>
      <c r="Y9" s="235">
        <f t="shared" si="0"/>
        <v>211815</v>
      </c>
      <c r="Z9" s="236">
        <f t="shared" si="0"/>
        <v>210543.42</v>
      </c>
      <c r="AA9" s="237"/>
      <c r="AB9" s="230"/>
      <c r="AC9" s="237"/>
      <c r="AD9" s="237"/>
      <c r="AE9" s="237"/>
    </row>
    <row r="10" spans="2:31" s="221" customFormat="1" ht="27.75" customHeight="1">
      <c r="B10" s="222" t="s">
        <v>2588</v>
      </c>
      <c r="C10" s="238">
        <v>1113</v>
      </c>
      <c r="D10" s="239">
        <v>1113</v>
      </c>
      <c r="E10" s="240">
        <v>280.146</v>
      </c>
      <c r="F10" s="241">
        <v>57286</v>
      </c>
      <c r="G10" s="242">
        <v>61855</v>
      </c>
      <c r="H10" s="236">
        <v>61461.274</v>
      </c>
      <c r="I10" s="235">
        <v>19674</v>
      </c>
      <c r="J10" s="243">
        <v>21197</v>
      </c>
      <c r="K10" s="244">
        <v>21207.524</v>
      </c>
      <c r="L10" s="245">
        <v>1124</v>
      </c>
      <c r="M10" s="235">
        <v>1212</v>
      </c>
      <c r="N10" s="246">
        <v>1205.782</v>
      </c>
      <c r="O10" s="235">
        <v>36559</v>
      </c>
      <c r="P10" s="243">
        <v>37958</v>
      </c>
      <c r="Q10" s="246">
        <v>37735.526</v>
      </c>
      <c r="R10" s="243">
        <v>12340</v>
      </c>
      <c r="S10" s="242">
        <v>12347</v>
      </c>
      <c r="T10" s="243">
        <v>12287.367</v>
      </c>
      <c r="U10" s="245">
        <v>0</v>
      </c>
      <c r="V10" s="235">
        <v>0</v>
      </c>
      <c r="W10" s="236">
        <v>0</v>
      </c>
      <c r="X10" s="235">
        <f t="shared" si="0"/>
        <v>128096</v>
      </c>
      <c r="Y10" s="235">
        <f t="shared" si="0"/>
        <v>135682</v>
      </c>
      <c r="Z10" s="236">
        <f t="shared" si="0"/>
        <v>134177.619</v>
      </c>
      <c r="AA10" s="237"/>
      <c r="AB10" s="237"/>
      <c r="AC10" s="237"/>
      <c r="AD10" s="237"/>
      <c r="AE10" s="237"/>
    </row>
    <row r="11" spans="2:31" s="221" customFormat="1" ht="27.75" customHeight="1">
      <c r="B11" s="247" t="s">
        <v>2589</v>
      </c>
      <c r="C11" s="248">
        <v>350</v>
      </c>
      <c r="D11" s="227">
        <v>350</v>
      </c>
      <c r="E11" s="237">
        <v>370.128</v>
      </c>
      <c r="F11" s="248">
        <v>70340</v>
      </c>
      <c r="G11" s="227">
        <v>75468</v>
      </c>
      <c r="H11" s="228">
        <v>75460.301</v>
      </c>
      <c r="I11" s="235">
        <v>24140</v>
      </c>
      <c r="J11" s="230">
        <v>26138</v>
      </c>
      <c r="K11" s="244">
        <v>26118</v>
      </c>
      <c r="L11" s="245">
        <v>1379</v>
      </c>
      <c r="M11" s="229">
        <v>1481</v>
      </c>
      <c r="N11" s="228">
        <v>1480.721</v>
      </c>
      <c r="O11" s="229">
        <v>40074</v>
      </c>
      <c r="P11" s="230">
        <v>43446</v>
      </c>
      <c r="Q11" s="234">
        <v>42980.724</v>
      </c>
      <c r="R11" s="243">
        <v>17029</v>
      </c>
      <c r="S11" s="227">
        <v>10394</v>
      </c>
      <c r="T11" s="230">
        <v>10389.412</v>
      </c>
      <c r="U11" s="245"/>
      <c r="V11" s="229"/>
      <c r="W11" s="228"/>
      <c r="X11" s="235">
        <f t="shared" si="0"/>
        <v>153312</v>
      </c>
      <c r="Y11" s="235">
        <f t="shared" si="0"/>
        <v>157277</v>
      </c>
      <c r="Z11" s="236">
        <f t="shared" si="0"/>
        <v>156799.286</v>
      </c>
      <c r="AA11" s="237"/>
      <c r="AB11" s="237"/>
      <c r="AC11" s="237"/>
      <c r="AD11" s="237"/>
      <c r="AE11" s="237"/>
    </row>
    <row r="12" spans="2:31" s="221" customFormat="1" ht="27.75" customHeight="1">
      <c r="B12" s="247" t="s">
        <v>2590</v>
      </c>
      <c r="C12" s="241">
        <v>40</v>
      </c>
      <c r="D12" s="242">
        <v>0</v>
      </c>
      <c r="E12" s="243">
        <v>0</v>
      </c>
      <c r="F12" s="241">
        <v>20642</v>
      </c>
      <c r="G12" s="242">
        <v>23110</v>
      </c>
      <c r="H12" s="236">
        <v>23110</v>
      </c>
      <c r="I12" s="235">
        <v>7131</v>
      </c>
      <c r="J12" s="243">
        <v>7981</v>
      </c>
      <c r="K12" s="244">
        <v>7981</v>
      </c>
      <c r="L12" s="245">
        <v>407</v>
      </c>
      <c r="M12" s="235">
        <v>456</v>
      </c>
      <c r="N12" s="246">
        <v>455.58</v>
      </c>
      <c r="O12" s="235">
        <v>13814</v>
      </c>
      <c r="P12" s="243">
        <v>14514</v>
      </c>
      <c r="Q12" s="246">
        <v>14511.692</v>
      </c>
      <c r="R12" s="243">
        <v>5700</v>
      </c>
      <c r="S12" s="242">
        <v>5700</v>
      </c>
      <c r="T12" s="243">
        <v>4556.617</v>
      </c>
      <c r="U12" s="245">
        <v>0</v>
      </c>
      <c r="V12" s="235">
        <v>0</v>
      </c>
      <c r="W12" s="236">
        <v>0</v>
      </c>
      <c r="X12" s="235">
        <f t="shared" si="0"/>
        <v>47734</v>
      </c>
      <c r="Y12" s="235">
        <f t="shared" si="0"/>
        <v>51761</v>
      </c>
      <c r="Z12" s="236">
        <f t="shared" si="0"/>
        <v>50614.889</v>
      </c>
      <c r="AA12" s="237"/>
      <c r="AB12" s="237"/>
      <c r="AC12" s="237"/>
      <c r="AD12" s="237"/>
      <c r="AE12" s="237"/>
    </row>
    <row r="13" spans="2:31" s="221" customFormat="1" ht="27.75" customHeight="1">
      <c r="B13" s="247" t="s">
        <v>2591</v>
      </c>
      <c r="C13" s="248">
        <v>189</v>
      </c>
      <c r="D13" s="227">
        <v>189</v>
      </c>
      <c r="E13" s="237">
        <v>0</v>
      </c>
      <c r="F13" s="248">
        <v>19195</v>
      </c>
      <c r="G13" s="227">
        <v>21312</v>
      </c>
      <c r="H13" s="228">
        <v>21279.88</v>
      </c>
      <c r="I13" s="235">
        <v>6633</v>
      </c>
      <c r="J13" s="230">
        <v>7386</v>
      </c>
      <c r="K13" s="244">
        <v>7373.483</v>
      </c>
      <c r="L13" s="245">
        <v>379</v>
      </c>
      <c r="M13" s="229">
        <v>421</v>
      </c>
      <c r="N13" s="228">
        <v>420.255</v>
      </c>
      <c r="O13" s="229">
        <v>12055</v>
      </c>
      <c r="P13" s="230">
        <v>15571</v>
      </c>
      <c r="Q13" s="234">
        <v>14126.719</v>
      </c>
      <c r="R13" s="243">
        <v>23860</v>
      </c>
      <c r="S13" s="227">
        <v>23860</v>
      </c>
      <c r="T13" s="230">
        <v>23825.413</v>
      </c>
      <c r="U13" s="245">
        <v>0</v>
      </c>
      <c r="V13" s="229">
        <v>0</v>
      </c>
      <c r="W13" s="228">
        <v>0</v>
      </c>
      <c r="X13" s="235">
        <f t="shared" si="0"/>
        <v>62311</v>
      </c>
      <c r="Y13" s="235">
        <f t="shared" si="0"/>
        <v>68739</v>
      </c>
      <c r="Z13" s="236">
        <f t="shared" si="0"/>
        <v>67025.75</v>
      </c>
      <c r="AA13" s="237"/>
      <c r="AB13" s="237"/>
      <c r="AC13" s="237"/>
      <c r="AD13" s="237"/>
      <c r="AE13" s="237"/>
    </row>
    <row r="14" spans="2:31" s="221" customFormat="1" ht="27.75" customHeight="1">
      <c r="B14" s="247" t="s">
        <v>2592</v>
      </c>
      <c r="C14" s="241">
        <v>250</v>
      </c>
      <c r="D14" s="242">
        <v>250</v>
      </c>
      <c r="E14" s="243">
        <v>0</v>
      </c>
      <c r="F14" s="241">
        <v>9378</v>
      </c>
      <c r="G14" s="242">
        <v>10650</v>
      </c>
      <c r="H14" s="236">
        <v>10514.226</v>
      </c>
      <c r="I14" s="235">
        <v>3232</v>
      </c>
      <c r="J14" s="243">
        <v>3665</v>
      </c>
      <c r="K14" s="244">
        <v>3616.966</v>
      </c>
      <c r="L14" s="245">
        <v>185</v>
      </c>
      <c r="M14" s="235">
        <v>210</v>
      </c>
      <c r="N14" s="246">
        <v>207.5</v>
      </c>
      <c r="O14" s="235">
        <v>2237</v>
      </c>
      <c r="P14" s="243">
        <v>1937</v>
      </c>
      <c r="Q14" s="246">
        <v>1940.385</v>
      </c>
      <c r="R14" s="243">
        <v>2600</v>
      </c>
      <c r="S14" s="242">
        <v>2600</v>
      </c>
      <c r="T14" s="243">
        <v>2592.307</v>
      </c>
      <c r="U14" s="245">
        <v>0</v>
      </c>
      <c r="V14" s="235">
        <v>0</v>
      </c>
      <c r="W14" s="236">
        <v>0</v>
      </c>
      <c r="X14" s="235">
        <f t="shared" si="0"/>
        <v>17882</v>
      </c>
      <c r="Y14" s="235">
        <f t="shared" si="0"/>
        <v>19312</v>
      </c>
      <c r="Z14" s="236">
        <f t="shared" si="0"/>
        <v>18871.384</v>
      </c>
      <c r="AA14" s="237"/>
      <c r="AB14" s="230"/>
      <c r="AC14" s="237"/>
      <c r="AD14" s="237"/>
      <c r="AE14" s="237"/>
    </row>
    <row r="15" spans="2:31" s="221" customFormat="1" ht="27.75" customHeight="1" thickBot="1">
      <c r="B15" s="247" t="s">
        <v>2593</v>
      </c>
      <c r="C15" s="249">
        <v>380</v>
      </c>
      <c r="D15" s="250">
        <v>16</v>
      </c>
      <c r="E15" s="251">
        <v>2.514</v>
      </c>
      <c r="F15" s="241">
        <v>80757</v>
      </c>
      <c r="G15" s="242">
        <v>94264</v>
      </c>
      <c r="H15" s="236">
        <v>92439.73061</v>
      </c>
      <c r="I15" s="235">
        <v>27368</v>
      </c>
      <c r="J15" s="243">
        <v>32014</v>
      </c>
      <c r="K15" s="244">
        <v>31546.274</v>
      </c>
      <c r="L15" s="245">
        <v>1564</v>
      </c>
      <c r="M15" s="235">
        <v>1836</v>
      </c>
      <c r="N15" s="236">
        <v>1808.473</v>
      </c>
      <c r="O15" s="235">
        <v>64063</v>
      </c>
      <c r="P15" s="243">
        <v>64848</v>
      </c>
      <c r="Q15" s="246">
        <v>65468.601</v>
      </c>
      <c r="R15" s="251">
        <v>19374</v>
      </c>
      <c r="S15" s="250">
        <v>21374</v>
      </c>
      <c r="T15" s="251">
        <v>21278.297</v>
      </c>
      <c r="U15" s="252">
        <v>1750</v>
      </c>
      <c r="V15" s="253">
        <v>1750</v>
      </c>
      <c r="W15" s="254">
        <v>1796.693</v>
      </c>
      <c r="X15" s="235">
        <f>U15+R15+O15+L15+I15+F15+C15</f>
        <v>195256</v>
      </c>
      <c r="Y15" s="235">
        <f>V15+S15+P15+M15+J15+G15+D15-204</f>
        <v>215898</v>
      </c>
      <c r="Z15" s="236">
        <f>W15+T15+Q15+N15+K15+H15+E15-198</f>
        <v>214142.58261</v>
      </c>
      <c r="AA15" s="237"/>
      <c r="AB15" s="237"/>
      <c r="AC15" s="237"/>
      <c r="AD15" s="237"/>
      <c r="AE15" s="237"/>
    </row>
    <row r="16" spans="1:31" ht="27.75" customHeight="1" thickBot="1">
      <c r="A16" s="221"/>
      <c r="B16" s="255" t="s">
        <v>2594</v>
      </c>
      <c r="C16" s="256">
        <v>3172</v>
      </c>
      <c r="D16" s="257">
        <v>1998</v>
      </c>
      <c r="E16" s="258">
        <v>842.8929999999999</v>
      </c>
      <c r="F16" s="259">
        <v>343747</v>
      </c>
      <c r="G16" s="257">
        <v>377659</v>
      </c>
      <c r="H16" s="258">
        <v>375563.75561</v>
      </c>
      <c r="I16" s="260">
        <v>117835</v>
      </c>
      <c r="J16" s="260">
        <v>129788</v>
      </c>
      <c r="K16" s="258">
        <v>129236.346</v>
      </c>
      <c r="L16" s="256">
        <v>6733</v>
      </c>
      <c r="M16" s="260">
        <v>7400</v>
      </c>
      <c r="N16" s="258">
        <v>7362.311000000001</v>
      </c>
      <c r="O16" s="260">
        <v>237486</v>
      </c>
      <c r="P16" s="259">
        <v>258018</v>
      </c>
      <c r="Q16" s="261">
        <v>254881.46500000003</v>
      </c>
      <c r="R16" s="256">
        <v>88703</v>
      </c>
      <c r="S16" s="257">
        <v>84075</v>
      </c>
      <c r="T16" s="258">
        <v>82689.467</v>
      </c>
      <c r="U16" s="260">
        <v>1750</v>
      </c>
      <c r="V16" s="257">
        <v>1750</v>
      </c>
      <c r="W16" s="258">
        <v>1796.693</v>
      </c>
      <c r="X16" s="259">
        <f>SUM(X9:X15)</f>
        <v>799426</v>
      </c>
      <c r="Y16" s="257">
        <f>SUM(Y9:Y15)</f>
        <v>860484</v>
      </c>
      <c r="Z16" s="262">
        <f>SUM(Z9:Z15)</f>
        <v>852174.9306099999</v>
      </c>
      <c r="AA16" s="263"/>
      <c r="AC16" s="181"/>
      <c r="AD16" s="263"/>
      <c r="AE16" s="263"/>
    </row>
    <row r="17" spans="1:29" ht="19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C17" s="264"/>
    </row>
    <row r="18" spans="1:29" ht="19.5" customHeight="1">
      <c r="A18" s="221"/>
      <c r="B18" s="1677" t="s">
        <v>2717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C18" s="264"/>
    </row>
    <row r="19" spans="1:29" ht="19.5" customHeight="1">
      <c r="A19" s="221"/>
      <c r="B19" s="1340" t="s">
        <v>2718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C19" s="264"/>
    </row>
    <row r="20" spans="1:29" ht="19.5" customHeight="1">
      <c r="A20" s="221"/>
      <c r="B20" s="1340" t="s">
        <v>3219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C20" s="264"/>
    </row>
    <row r="21" spans="1:28" ht="43.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AA21" s="264"/>
      <c r="AB21" s="265"/>
    </row>
    <row r="22" spans="2:29" ht="19.5" customHeight="1">
      <c r="B22" s="1340" t="s">
        <v>3509</v>
      </c>
      <c r="N22" s="264"/>
      <c r="O22" s="264"/>
      <c r="P22" s="264"/>
      <c r="Q22" s="265"/>
      <c r="R22" s="264"/>
      <c r="S22" s="1340" t="s">
        <v>2595</v>
      </c>
      <c r="X22" s="1938" t="s">
        <v>3510</v>
      </c>
      <c r="Y22" s="1938"/>
      <c r="Z22" s="1938"/>
      <c r="AA22" s="264"/>
      <c r="AB22" s="237"/>
      <c r="AC22" s="237"/>
    </row>
    <row r="23" spans="14:29" ht="19.5" customHeight="1">
      <c r="N23" s="264"/>
      <c r="O23" s="264"/>
      <c r="P23" s="264"/>
      <c r="Q23" s="265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37"/>
      <c r="AC23" s="237"/>
    </row>
    <row r="24" spans="12:29" ht="19.5" customHeight="1">
      <c r="L24" s="264"/>
      <c r="M24" s="264"/>
      <c r="N24" s="264"/>
      <c r="O24" s="264"/>
      <c r="P24" s="264"/>
      <c r="Q24" s="265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3"/>
      <c r="AC24" s="263"/>
    </row>
    <row r="25" spans="12:27" ht="19.5" customHeight="1">
      <c r="L25" s="264"/>
      <c r="M25" s="264"/>
      <c r="N25" s="264"/>
      <c r="O25" s="264"/>
      <c r="P25" s="264"/>
      <c r="Q25" s="265"/>
      <c r="R25" s="264"/>
      <c r="S25" s="264"/>
      <c r="T25" s="264"/>
      <c r="U25" s="264"/>
      <c r="V25" s="264"/>
      <c r="W25" s="264"/>
      <c r="X25" s="264"/>
      <c r="Y25" s="264"/>
      <c r="Z25" s="264"/>
      <c r="AA25" s="264"/>
    </row>
    <row r="26" spans="8:29" ht="19.5" customHeight="1">
      <c r="H26" s="264"/>
      <c r="L26" s="264"/>
      <c r="M26" s="264"/>
      <c r="N26" s="264"/>
      <c r="O26" s="264"/>
      <c r="P26" s="264"/>
      <c r="Q26" s="265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C26" s="264"/>
    </row>
    <row r="27" spans="12:29" ht="19.5" customHeight="1">
      <c r="L27" s="264"/>
      <c r="M27" s="264"/>
      <c r="N27" s="264"/>
      <c r="O27" s="264"/>
      <c r="P27" s="264"/>
      <c r="Q27" s="265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30"/>
      <c r="AC27" s="264"/>
    </row>
    <row r="28" spans="12:29" ht="19.5" customHeight="1">
      <c r="L28" s="264"/>
      <c r="M28" s="264"/>
      <c r="N28" s="264"/>
      <c r="O28" s="264"/>
      <c r="P28" s="264"/>
      <c r="Q28" s="265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C28" s="264"/>
    </row>
    <row r="29" spans="12:29" ht="19.5" customHeight="1"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C29" s="264"/>
    </row>
    <row r="30" spans="12:29" ht="19.5" customHeight="1"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C30" s="264"/>
    </row>
    <row r="31" spans="14:29" ht="19.5" customHeight="1"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C31" s="264"/>
    </row>
    <row r="32" spans="14:29" ht="19.5" customHeight="1"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C32" s="264"/>
    </row>
    <row r="33" spans="14:29" ht="19.5" customHeight="1"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C33" s="264"/>
    </row>
  </sheetData>
  <mergeCells count="7">
    <mergeCell ref="X22:Z22"/>
    <mergeCell ref="Y2:Z2"/>
    <mergeCell ref="B3:Z3"/>
    <mergeCell ref="C6:E6"/>
    <mergeCell ref="F6:H6"/>
    <mergeCell ref="R6:T6"/>
    <mergeCell ref="U6:W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3"/>
  <headerFooter alignWithMargins="0">
    <oddFooter>&amp;C&amp;14&amp;P+138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I5">
      <selection activeCell="M25" sqref="M25:R25"/>
    </sheetView>
  </sheetViews>
  <sheetFormatPr defaultColWidth="9.00390625" defaultRowHeight="12.75"/>
  <cols>
    <col min="1" max="1" width="26.50390625" style="0" customWidth="1"/>
    <col min="2" max="2" width="11.375" style="0" customWidth="1"/>
    <col min="3" max="3" width="14.625" style="0" customWidth="1"/>
    <col min="4" max="5" width="10.125" style="0" customWidth="1"/>
    <col min="6" max="6" width="11.50390625" style="0" customWidth="1"/>
    <col min="7" max="8" width="10.125" style="0" customWidth="1"/>
    <col min="9" max="9" width="13.00390625" style="0" customWidth="1"/>
    <col min="10" max="10" width="11.00390625" style="0" customWidth="1"/>
    <col min="11" max="13" width="10.125" style="0" customWidth="1"/>
    <col min="14" max="14" width="11.00390625" style="0" customWidth="1"/>
    <col min="15" max="17" width="10.125" style="0" customWidth="1"/>
    <col min="18" max="18" width="12.375" style="0" customWidth="1"/>
  </cols>
  <sheetData>
    <row r="1" spans="1:18" ht="12.75">
      <c r="A1" t="s">
        <v>3513</v>
      </c>
      <c r="R1" s="271" t="s">
        <v>3604</v>
      </c>
    </row>
    <row r="2" spans="1:18" ht="21.75" customHeight="1">
      <c r="A2" s="1854" t="s">
        <v>3322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</row>
    <row r="3" spans="1:15" ht="12.75">
      <c r="A3" s="266"/>
      <c r="B3" s="266"/>
      <c r="C3" s="266"/>
      <c r="D3" s="24"/>
      <c r="G3" s="266"/>
      <c r="K3" s="266"/>
      <c r="O3" s="266"/>
    </row>
    <row r="4" spans="1:18" ht="13.5" thickBot="1">
      <c r="A4" s="24"/>
      <c r="B4" s="24"/>
      <c r="C4" s="266"/>
      <c r="G4" s="266"/>
      <c r="K4" s="266"/>
      <c r="O4" s="266"/>
      <c r="R4" s="271" t="s">
        <v>2575</v>
      </c>
    </row>
    <row r="5" spans="1:18" ht="19.5" customHeight="1" thickTop="1">
      <c r="A5" s="972"/>
      <c r="B5" s="1033"/>
      <c r="C5" s="973" t="s">
        <v>3323</v>
      </c>
      <c r="D5" s="974"/>
      <c r="E5" s="976"/>
      <c r="F5" s="1034" t="s">
        <v>3299</v>
      </c>
      <c r="G5" s="974"/>
      <c r="H5" s="975"/>
      <c r="I5" s="976"/>
      <c r="J5" s="1034" t="s">
        <v>3324</v>
      </c>
      <c r="K5" s="973"/>
      <c r="L5" s="975"/>
      <c r="M5" s="1035"/>
      <c r="N5" s="1855" t="s">
        <v>3301</v>
      </c>
      <c r="O5" s="1856"/>
      <c r="P5" s="1856"/>
      <c r="Q5" s="1856"/>
      <c r="R5" s="1857"/>
    </row>
    <row r="6" spans="1:18" ht="19.5" customHeight="1">
      <c r="A6" s="978" t="s">
        <v>3325</v>
      </c>
      <c r="B6" s="1036" t="s">
        <v>2584</v>
      </c>
      <c r="C6" s="979" t="s">
        <v>2585</v>
      </c>
      <c r="D6" s="980" t="s">
        <v>3302</v>
      </c>
      <c r="E6" s="981" t="s">
        <v>3303</v>
      </c>
      <c r="F6" s="1037" t="s">
        <v>2584</v>
      </c>
      <c r="G6" s="980" t="s">
        <v>2585</v>
      </c>
      <c r="H6" s="980" t="s">
        <v>3302</v>
      </c>
      <c r="I6" s="981" t="s">
        <v>3303</v>
      </c>
      <c r="J6" s="1036" t="s">
        <v>2584</v>
      </c>
      <c r="K6" s="979" t="s">
        <v>2585</v>
      </c>
      <c r="L6" s="981" t="s">
        <v>3302</v>
      </c>
      <c r="M6" s="1038" t="s">
        <v>3303</v>
      </c>
      <c r="N6" s="1039" t="s">
        <v>2584</v>
      </c>
      <c r="O6" s="979" t="s">
        <v>2585</v>
      </c>
      <c r="P6" s="979" t="s">
        <v>3302</v>
      </c>
      <c r="Q6" s="980" t="s">
        <v>3303</v>
      </c>
      <c r="R6" s="982" t="s">
        <v>3304</v>
      </c>
    </row>
    <row r="7" spans="1:18" ht="19.5" customHeight="1" thickBot="1">
      <c r="A7" s="983"/>
      <c r="B7" s="1040"/>
      <c r="C7" s="984" t="s">
        <v>3305</v>
      </c>
      <c r="D7" s="984" t="s">
        <v>3306</v>
      </c>
      <c r="E7" s="985" t="s">
        <v>3307</v>
      </c>
      <c r="F7" s="1041"/>
      <c r="G7" s="984" t="s">
        <v>3305</v>
      </c>
      <c r="H7" s="984" t="s">
        <v>3306</v>
      </c>
      <c r="I7" s="985" t="s">
        <v>3307</v>
      </c>
      <c r="J7" s="1041"/>
      <c r="K7" s="984" t="s">
        <v>3305</v>
      </c>
      <c r="L7" s="985" t="s">
        <v>3306</v>
      </c>
      <c r="M7" s="985" t="s">
        <v>3307</v>
      </c>
      <c r="N7" s="1041"/>
      <c r="O7" s="984" t="s">
        <v>3305</v>
      </c>
      <c r="P7" s="984" t="s">
        <v>3306</v>
      </c>
      <c r="Q7" s="984" t="s">
        <v>3307</v>
      </c>
      <c r="R7" s="986"/>
    </row>
    <row r="8" spans="1:18" ht="19.5" customHeight="1">
      <c r="A8" s="992" t="s">
        <v>3326</v>
      </c>
      <c r="B8" s="1042">
        <v>96780</v>
      </c>
      <c r="C8" s="993">
        <v>104979</v>
      </c>
      <c r="D8" s="994">
        <v>104664</v>
      </c>
      <c r="E8" s="995">
        <f>C8-D8</f>
        <v>315</v>
      </c>
      <c r="F8" s="1043">
        <v>79701</v>
      </c>
      <c r="G8" s="993">
        <v>86454</v>
      </c>
      <c r="H8" s="994">
        <v>85690</v>
      </c>
      <c r="I8" s="995">
        <f>G8-H8</f>
        <v>764</v>
      </c>
      <c r="J8" s="1043">
        <v>317</v>
      </c>
      <c r="K8" s="993">
        <v>317</v>
      </c>
      <c r="L8" s="995">
        <v>10775</v>
      </c>
      <c r="M8" s="995">
        <f>K8-L8</f>
        <v>-10458</v>
      </c>
      <c r="N8" s="1043">
        <v>97097</v>
      </c>
      <c r="O8" s="993">
        <v>105296</v>
      </c>
      <c r="P8" s="993">
        <v>115439</v>
      </c>
      <c r="Q8" s="994">
        <f>O8-P8</f>
        <v>-10143</v>
      </c>
      <c r="R8" s="996">
        <f>P8*100/O8</f>
        <v>109.63284455249962</v>
      </c>
    </row>
    <row r="9" spans="1:18" ht="19.5" customHeight="1">
      <c r="A9" s="992" t="s">
        <v>2670</v>
      </c>
      <c r="B9" s="1042">
        <v>106108</v>
      </c>
      <c r="C9" s="993">
        <v>115077</v>
      </c>
      <c r="D9" s="994">
        <v>115266</v>
      </c>
      <c r="E9" s="995">
        <f aca="true" t="shared" si="0" ref="E9:E21">C9-D9</f>
        <v>-189</v>
      </c>
      <c r="F9" s="1043">
        <v>87383</v>
      </c>
      <c r="G9" s="993">
        <v>94768</v>
      </c>
      <c r="H9" s="994">
        <v>94285</v>
      </c>
      <c r="I9" s="995">
        <f aca="true" t="shared" si="1" ref="I9:I21">G9-H9</f>
        <v>483</v>
      </c>
      <c r="J9" s="1043">
        <v>1544</v>
      </c>
      <c r="K9" s="993">
        <v>1544</v>
      </c>
      <c r="L9" s="995">
        <v>11702</v>
      </c>
      <c r="M9" s="995">
        <f aca="true" t="shared" si="2" ref="M9:M16">K9-L9</f>
        <v>-10158</v>
      </c>
      <c r="N9" s="1043">
        <v>107652</v>
      </c>
      <c r="O9" s="993">
        <v>116621</v>
      </c>
      <c r="P9" s="993">
        <v>126968</v>
      </c>
      <c r="Q9" s="994">
        <f aca="true" t="shared" si="3" ref="Q9:Q21">O9-P9</f>
        <v>-10347</v>
      </c>
      <c r="R9" s="996">
        <f aca="true" t="shared" si="4" ref="R9:R22">P9*100/O9</f>
        <v>108.87233002632459</v>
      </c>
    </row>
    <row r="10" spans="1:18" ht="19.5" customHeight="1">
      <c r="A10" s="992" t="s">
        <v>2671</v>
      </c>
      <c r="B10" s="1042">
        <v>68988</v>
      </c>
      <c r="C10" s="993">
        <v>75097</v>
      </c>
      <c r="D10" s="994">
        <v>74061</v>
      </c>
      <c r="E10" s="995">
        <f t="shared" si="0"/>
        <v>1036</v>
      </c>
      <c r="F10" s="1043">
        <v>56814</v>
      </c>
      <c r="G10" s="993">
        <v>61845</v>
      </c>
      <c r="H10" s="994">
        <v>60627</v>
      </c>
      <c r="I10" s="995">
        <f t="shared" si="1"/>
        <v>1218</v>
      </c>
      <c r="J10" s="1043">
        <v>1012</v>
      </c>
      <c r="K10" s="993">
        <v>1012</v>
      </c>
      <c r="L10" s="995">
        <v>2918</v>
      </c>
      <c r="M10" s="995">
        <f t="shared" si="2"/>
        <v>-1906</v>
      </c>
      <c r="N10" s="1043">
        <v>70000</v>
      </c>
      <c r="O10" s="993">
        <v>76109</v>
      </c>
      <c r="P10" s="993">
        <v>76978</v>
      </c>
      <c r="Q10" s="994">
        <f t="shared" si="3"/>
        <v>-869</v>
      </c>
      <c r="R10" s="996">
        <f t="shared" si="4"/>
        <v>101.14178349472468</v>
      </c>
    </row>
    <row r="11" spans="1:18" ht="19.5" customHeight="1">
      <c r="A11" s="992" t="s">
        <v>3327</v>
      </c>
      <c r="B11" s="1042">
        <v>60889</v>
      </c>
      <c r="C11" s="1044">
        <v>66875</v>
      </c>
      <c r="D11" s="994">
        <v>66796</v>
      </c>
      <c r="E11" s="995">
        <f t="shared" si="0"/>
        <v>79</v>
      </c>
      <c r="F11" s="1043">
        <v>50144</v>
      </c>
      <c r="G11" s="1044">
        <v>55075</v>
      </c>
      <c r="H11" s="994">
        <v>54628</v>
      </c>
      <c r="I11" s="995">
        <f t="shared" si="1"/>
        <v>447</v>
      </c>
      <c r="J11" s="1043">
        <v>1796</v>
      </c>
      <c r="K11" s="1044">
        <v>1796</v>
      </c>
      <c r="L11" s="995">
        <v>23025</v>
      </c>
      <c r="M11" s="995">
        <f t="shared" si="2"/>
        <v>-21229</v>
      </c>
      <c r="N11" s="1043">
        <v>62685</v>
      </c>
      <c r="O11" s="993">
        <v>68671</v>
      </c>
      <c r="P11" s="993">
        <v>89821</v>
      </c>
      <c r="Q11" s="994">
        <f t="shared" si="3"/>
        <v>-21150</v>
      </c>
      <c r="R11" s="996">
        <f t="shared" si="4"/>
        <v>130.7990272458534</v>
      </c>
    </row>
    <row r="12" spans="1:18" ht="19.5" customHeight="1">
      <c r="A12" s="992" t="s">
        <v>2673</v>
      </c>
      <c r="B12" s="1042">
        <v>31653</v>
      </c>
      <c r="C12" s="993">
        <v>31047</v>
      </c>
      <c r="D12" s="994">
        <v>34776</v>
      </c>
      <c r="E12" s="995">
        <f t="shared" si="0"/>
        <v>-3729</v>
      </c>
      <c r="F12" s="1043">
        <v>26066</v>
      </c>
      <c r="G12" s="993">
        <v>25567</v>
      </c>
      <c r="H12" s="994">
        <v>28443</v>
      </c>
      <c r="I12" s="995">
        <f t="shared" si="1"/>
        <v>-2876</v>
      </c>
      <c r="J12" s="1043">
        <v>9858</v>
      </c>
      <c r="K12" s="993">
        <v>9858</v>
      </c>
      <c r="L12" s="995">
        <v>28560</v>
      </c>
      <c r="M12" s="995">
        <f t="shared" si="2"/>
        <v>-18702</v>
      </c>
      <c r="N12" s="1043">
        <v>41511</v>
      </c>
      <c r="O12" s="993">
        <v>40905</v>
      </c>
      <c r="P12" s="993">
        <v>63336</v>
      </c>
      <c r="Q12" s="994">
        <f t="shared" si="3"/>
        <v>-22431</v>
      </c>
      <c r="R12" s="996">
        <f t="shared" si="4"/>
        <v>154.83681701503482</v>
      </c>
    </row>
    <row r="13" spans="1:18" ht="19.5" customHeight="1">
      <c r="A13" s="992" t="s">
        <v>2674</v>
      </c>
      <c r="B13" s="1042">
        <v>71141</v>
      </c>
      <c r="C13" s="993">
        <v>77809</v>
      </c>
      <c r="D13" s="994">
        <v>76756</v>
      </c>
      <c r="E13" s="995">
        <f t="shared" si="0"/>
        <v>1053</v>
      </c>
      <c r="F13" s="1043">
        <v>58587</v>
      </c>
      <c r="G13" s="993">
        <v>64078</v>
      </c>
      <c r="H13" s="994">
        <v>62826</v>
      </c>
      <c r="I13" s="995">
        <f t="shared" si="1"/>
        <v>1252</v>
      </c>
      <c r="J13" s="1043">
        <v>788</v>
      </c>
      <c r="K13" s="993">
        <v>788</v>
      </c>
      <c r="L13" s="995">
        <v>7904</v>
      </c>
      <c r="M13" s="995">
        <f t="shared" si="2"/>
        <v>-7116</v>
      </c>
      <c r="N13" s="1043">
        <v>71929</v>
      </c>
      <c r="O13" s="993">
        <v>78597</v>
      </c>
      <c r="P13" s="993">
        <v>84660</v>
      </c>
      <c r="Q13" s="994">
        <f t="shared" si="3"/>
        <v>-6063</v>
      </c>
      <c r="R13" s="996">
        <f t="shared" si="4"/>
        <v>107.71403488682775</v>
      </c>
    </row>
    <row r="14" spans="1:18" ht="19.5" customHeight="1">
      <c r="A14" s="992" t="s">
        <v>2675</v>
      </c>
      <c r="B14" s="1042">
        <v>39010</v>
      </c>
      <c r="C14" s="993">
        <v>42291</v>
      </c>
      <c r="D14" s="994">
        <v>42084</v>
      </c>
      <c r="E14" s="995">
        <f t="shared" si="0"/>
        <v>207</v>
      </c>
      <c r="F14" s="1043">
        <v>32126</v>
      </c>
      <c r="G14" s="993">
        <v>34828</v>
      </c>
      <c r="H14" s="994">
        <v>34449</v>
      </c>
      <c r="I14" s="995">
        <f t="shared" si="1"/>
        <v>379</v>
      </c>
      <c r="J14" s="1043">
        <v>643</v>
      </c>
      <c r="K14" s="993">
        <v>643</v>
      </c>
      <c r="L14" s="995">
        <v>6690</v>
      </c>
      <c r="M14" s="995">
        <f t="shared" si="2"/>
        <v>-6047</v>
      </c>
      <c r="N14" s="1043">
        <v>39653</v>
      </c>
      <c r="O14" s="993">
        <v>42934</v>
      </c>
      <c r="P14" s="993">
        <v>48775</v>
      </c>
      <c r="Q14" s="994">
        <f t="shared" si="3"/>
        <v>-5841</v>
      </c>
      <c r="R14" s="996">
        <f t="shared" si="4"/>
        <v>113.604602413006</v>
      </c>
    </row>
    <row r="15" spans="1:18" ht="19.5" customHeight="1">
      <c r="A15" s="992" t="s">
        <v>3328</v>
      </c>
      <c r="B15" s="1042">
        <v>47073</v>
      </c>
      <c r="C15" s="993">
        <v>51728</v>
      </c>
      <c r="D15" s="994">
        <v>50668</v>
      </c>
      <c r="E15" s="995">
        <f t="shared" si="0"/>
        <v>1060</v>
      </c>
      <c r="F15" s="1043">
        <v>38766</v>
      </c>
      <c r="G15" s="993">
        <v>42599</v>
      </c>
      <c r="H15" s="994">
        <v>41455</v>
      </c>
      <c r="I15" s="995">
        <f t="shared" si="1"/>
        <v>1144</v>
      </c>
      <c r="J15" s="1043">
        <v>1751</v>
      </c>
      <c r="K15" s="993">
        <v>1751</v>
      </c>
      <c r="L15" s="995">
        <v>22954</v>
      </c>
      <c r="M15" s="995">
        <f t="shared" si="2"/>
        <v>-21203</v>
      </c>
      <c r="N15" s="1043">
        <v>48824</v>
      </c>
      <c r="O15" s="993">
        <v>53479</v>
      </c>
      <c r="P15" s="993">
        <v>73622</v>
      </c>
      <c r="Q15" s="994">
        <f t="shared" si="3"/>
        <v>-20143</v>
      </c>
      <c r="R15" s="996">
        <f t="shared" si="4"/>
        <v>137.66525178107295</v>
      </c>
    </row>
    <row r="16" spans="1:18" ht="19.5" customHeight="1">
      <c r="A16" s="992" t="s">
        <v>2677</v>
      </c>
      <c r="B16" s="1042">
        <v>40283</v>
      </c>
      <c r="C16" s="993">
        <v>43731</v>
      </c>
      <c r="D16" s="994">
        <v>43441</v>
      </c>
      <c r="E16" s="995">
        <f t="shared" si="0"/>
        <v>290</v>
      </c>
      <c r="F16" s="1043">
        <v>33174</v>
      </c>
      <c r="G16" s="993">
        <v>36014</v>
      </c>
      <c r="H16" s="994">
        <v>35514</v>
      </c>
      <c r="I16" s="995">
        <f t="shared" si="1"/>
        <v>500</v>
      </c>
      <c r="J16" s="1043">
        <v>704</v>
      </c>
      <c r="K16" s="993">
        <v>704</v>
      </c>
      <c r="L16" s="995">
        <v>2172</v>
      </c>
      <c r="M16" s="995">
        <f t="shared" si="2"/>
        <v>-1468</v>
      </c>
      <c r="N16" s="1043">
        <v>40987</v>
      </c>
      <c r="O16" s="993">
        <v>44435</v>
      </c>
      <c r="P16" s="993">
        <v>45612</v>
      </c>
      <c r="Q16" s="994">
        <f t="shared" si="3"/>
        <v>-1177</v>
      </c>
      <c r="R16" s="996">
        <f t="shared" si="4"/>
        <v>102.64881287273546</v>
      </c>
    </row>
    <row r="17" spans="1:18" ht="19.5" customHeight="1">
      <c r="A17" s="992" t="s">
        <v>2678</v>
      </c>
      <c r="B17" s="1042">
        <v>54483</v>
      </c>
      <c r="C17" s="993">
        <v>59529</v>
      </c>
      <c r="D17" s="994">
        <v>60182</v>
      </c>
      <c r="E17" s="995">
        <f t="shared" si="0"/>
        <v>-653</v>
      </c>
      <c r="F17" s="1043">
        <v>44869</v>
      </c>
      <c r="G17" s="993">
        <v>49024</v>
      </c>
      <c r="H17" s="994">
        <v>49185</v>
      </c>
      <c r="I17" s="995">
        <f t="shared" si="1"/>
        <v>-161</v>
      </c>
      <c r="J17" s="1043">
        <v>1307</v>
      </c>
      <c r="K17" s="993">
        <v>1307</v>
      </c>
      <c r="L17" s="995">
        <v>8181</v>
      </c>
      <c r="M17" s="995">
        <f>K17-L17</f>
        <v>-6874</v>
      </c>
      <c r="N17" s="1043">
        <v>55790</v>
      </c>
      <c r="O17" s="993">
        <v>60836</v>
      </c>
      <c r="P17" s="993">
        <v>68363</v>
      </c>
      <c r="Q17" s="994">
        <f t="shared" si="3"/>
        <v>-7527</v>
      </c>
      <c r="R17" s="996">
        <f t="shared" si="4"/>
        <v>112.37260832401867</v>
      </c>
    </row>
    <row r="18" spans="1:18" ht="19.5" customHeight="1">
      <c r="A18" s="1018" t="s">
        <v>2679</v>
      </c>
      <c r="B18" s="1045">
        <v>85684</v>
      </c>
      <c r="C18" s="1019">
        <v>92859</v>
      </c>
      <c r="D18" s="1020">
        <v>93239</v>
      </c>
      <c r="E18" s="995">
        <f t="shared" si="0"/>
        <v>-380</v>
      </c>
      <c r="F18" s="1046">
        <v>70564</v>
      </c>
      <c r="G18" s="1019">
        <v>76473</v>
      </c>
      <c r="H18" s="1020">
        <v>76319</v>
      </c>
      <c r="I18" s="995">
        <f t="shared" si="1"/>
        <v>154</v>
      </c>
      <c r="J18" s="1046">
        <v>4603</v>
      </c>
      <c r="K18" s="1019">
        <v>4603</v>
      </c>
      <c r="L18" s="1021">
        <v>30042</v>
      </c>
      <c r="M18" s="995">
        <f>K18-L18</f>
        <v>-25439</v>
      </c>
      <c r="N18" s="1043">
        <v>90287</v>
      </c>
      <c r="O18" s="993">
        <v>97462</v>
      </c>
      <c r="P18" s="993">
        <v>123281</v>
      </c>
      <c r="Q18" s="994">
        <f t="shared" si="3"/>
        <v>-25819</v>
      </c>
      <c r="R18" s="996">
        <f t="shared" si="4"/>
        <v>126.49135047505695</v>
      </c>
    </row>
    <row r="19" spans="1:18" ht="19.5" customHeight="1">
      <c r="A19" s="1018" t="s">
        <v>2680</v>
      </c>
      <c r="B19" s="1045">
        <v>42072</v>
      </c>
      <c r="C19" s="1019">
        <v>45744</v>
      </c>
      <c r="D19" s="1020">
        <v>46109</v>
      </c>
      <c r="E19" s="995">
        <f t="shared" si="0"/>
        <v>-365</v>
      </c>
      <c r="F19" s="1046">
        <v>34648</v>
      </c>
      <c r="G19" s="1019">
        <v>37671</v>
      </c>
      <c r="H19" s="1020">
        <v>37697</v>
      </c>
      <c r="I19" s="995">
        <f t="shared" si="1"/>
        <v>-26</v>
      </c>
      <c r="J19" s="1046">
        <v>469</v>
      </c>
      <c r="K19" s="1019">
        <v>469</v>
      </c>
      <c r="L19" s="1021">
        <v>3023</v>
      </c>
      <c r="M19" s="995">
        <f>K19-L19</f>
        <v>-2554</v>
      </c>
      <c r="N19" s="1043">
        <v>42541</v>
      </c>
      <c r="O19" s="993">
        <v>46213</v>
      </c>
      <c r="P19" s="993">
        <v>49132</v>
      </c>
      <c r="Q19" s="994">
        <f t="shared" si="3"/>
        <v>-2919</v>
      </c>
      <c r="R19" s="996">
        <f t="shared" si="4"/>
        <v>106.31640447493129</v>
      </c>
    </row>
    <row r="20" spans="1:18" ht="19.5" customHeight="1">
      <c r="A20" s="1018" t="s">
        <v>2681</v>
      </c>
      <c r="B20" s="1045">
        <v>55997</v>
      </c>
      <c r="C20" s="1019">
        <v>60742</v>
      </c>
      <c r="D20" s="1020">
        <v>60436</v>
      </c>
      <c r="E20" s="995">
        <f t="shared" si="0"/>
        <v>306</v>
      </c>
      <c r="F20" s="1046">
        <v>46114</v>
      </c>
      <c r="G20" s="1019">
        <v>50022</v>
      </c>
      <c r="H20" s="1020">
        <v>49441</v>
      </c>
      <c r="I20" s="995">
        <f t="shared" si="1"/>
        <v>581</v>
      </c>
      <c r="J20" s="1046">
        <v>608</v>
      </c>
      <c r="K20" s="1019">
        <v>608</v>
      </c>
      <c r="L20" s="1021">
        <v>9964</v>
      </c>
      <c r="M20" s="995">
        <f>K20-L20</f>
        <v>-9356</v>
      </c>
      <c r="N20" s="1043">
        <v>56605</v>
      </c>
      <c r="O20" s="993">
        <v>61350</v>
      </c>
      <c r="P20" s="993">
        <v>70400</v>
      </c>
      <c r="Q20" s="994">
        <f t="shared" si="3"/>
        <v>-9050</v>
      </c>
      <c r="R20" s="996">
        <f t="shared" si="4"/>
        <v>114.75142624286879</v>
      </c>
    </row>
    <row r="21" spans="1:18" ht="19.5" customHeight="1" thickBot="1">
      <c r="A21" s="1018" t="s">
        <v>2682</v>
      </c>
      <c r="B21" s="1045">
        <v>92942</v>
      </c>
      <c r="C21" s="1019">
        <v>101274</v>
      </c>
      <c r="D21" s="1020">
        <v>102523</v>
      </c>
      <c r="E21" s="995">
        <f t="shared" si="0"/>
        <v>-1249</v>
      </c>
      <c r="F21" s="1046">
        <v>76540</v>
      </c>
      <c r="G21" s="1019">
        <v>83403</v>
      </c>
      <c r="H21" s="1020">
        <v>83807</v>
      </c>
      <c r="I21" s="995">
        <f t="shared" si="1"/>
        <v>-404</v>
      </c>
      <c r="J21" s="1046">
        <v>1120</v>
      </c>
      <c r="K21" s="1019">
        <v>1120</v>
      </c>
      <c r="L21" s="1021">
        <v>9891</v>
      </c>
      <c r="M21" s="995">
        <f>K21-L21</f>
        <v>-8771</v>
      </c>
      <c r="N21" s="1043">
        <v>94062</v>
      </c>
      <c r="O21" s="993">
        <v>102394</v>
      </c>
      <c r="P21" s="993">
        <v>112414</v>
      </c>
      <c r="Q21" s="994">
        <f t="shared" si="3"/>
        <v>-10020</v>
      </c>
      <c r="R21" s="996">
        <f t="shared" si="4"/>
        <v>109.78572963259566</v>
      </c>
    </row>
    <row r="22" spans="1:18" ht="19.5" customHeight="1" thickBot="1">
      <c r="A22" s="1047" t="s">
        <v>3329</v>
      </c>
      <c r="B22" s="1048">
        <f>SUM(B8:B21)</f>
        <v>893103</v>
      </c>
      <c r="C22" s="1049">
        <f aca="true" t="shared" si="5" ref="C22:Q22">SUM(C8:C21)</f>
        <v>968782</v>
      </c>
      <c r="D22" s="1050">
        <f t="shared" si="5"/>
        <v>971001</v>
      </c>
      <c r="E22" s="1051">
        <f t="shared" si="5"/>
        <v>-2219</v>
      </c>
      <c r="F22" s="1052">
        <f>SUM(F8:F21)</f>
        <v>735496</v>
      </c>
      <c r="G22" s="1049">
        <f t="shared" si="5"/>
        <v>797821</v>
      </c>
      <c r="H22" s="1050">
        <f t="shared" si="5"/>
        <v>794366</v>
      </c>
      <c r="I22" s="1051">
        <f t="shared" si="5"/>
        <v>3455</v>
      </c>
      <c r="J22" s="1052">
        <f>SUM(J8:J21)</f>
        <v>26520</v>
      </c>
      <c r="K22" s="1049">
        <f t="shared" si="5"/>
        <v>26520</v>
      </c>
      <c r="L22" s="1051">
        <f t="shared" si="5"/>
        <v>177801</v>
      </c>
      <c r="M22" s="1051">
        <f t="shared" si="5"/>
        <v>-151281</v>
      </c>
      <c r="N22" s="1052">
        <f>SUM(N8:N21)</f>
        <v>919623</v>
      </c>
      <c r="O22" s="1049">
        <f t="shared" si="5"/>
        <v>995302</v>
      </c>
      <c r="P22" s="1049">
        <f t="shared" si="5"/>
        <v>1148801</v>
      </c>
      <c r="Q22" s="1049">
        <f t="shared" si="5"/>
        <v>-153499</v>
      </c>
      <c r="R22" s="1053">
        <f t="shared" si="4"/>
        <v>115.42235422012615</v>
      </c>
    </row>
    <row r="25" spans="1:18" ht="12.75">
      <c r="A25" t="s">
        <v>3601</v>
      </c>
      <c r="M25" t="s">
        <v>3602</v>
      </c>
      <c r="P25" s="1255"/>
      <c r="Q25" s="1853" t="s">
        <v>3510</v>
      </c>
      <c r="R25" s="1853"/>
    </row>
    <row r="52" spans="1:2" ht="12.75">
      <c r="A52" s="1032"/>
      <c r="B52" s="1032"/>
    </row>
  </sheetData>
  <mergeCells count="3">
    <mergeCell ref="A2:R2"/>
    <mergeCell ref="Q25:R25"/>
    <mergeCell ref="N5:R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Footer>&amp;C&amp;P+77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34"/>
  <sheetViews>
    <sheetView workbookViewId="0" topLeftCell="I1">
      <selection activeCell="V3" sqref="V3:W3"/>
    </sheetView>
  </sheetViews>
  <sheetFormatPr defaultColWidth="9.00390625" defaultRowHeight="12.75"/>
  <cols>
    <col min="2" max="2" width="28.375" style="0" customWidth="1"/>
    <col min="3" max="3" width="9.00390625" style="0" customWidth="1"/>
    <col min="4" max="4" width="8.625" style="0" customWidth="1"/>
    <col min="5" max="5" width="10.50390625" style="0" customWidth="1"/>
    <col min="6" max="6" width="7.50390625" style="0" customWidth="1"/>
    <col min="7" max="7" width="7.375" style="0" customWidth="1"/>
    <col min="9" max="9" width="7.625" style="0" customWidth="1"/>
    <col min="10" max="10" width="7.50390625" style="0" customWidth="1"/>
    <col min="11" max="11" width="8.625" style="0" customWidth="1"/>
    <col min="12" max="12" width="8.50390625" style="0" customWidth="1"/>
    <col min="13" max="13" width="8.375" style="0" customWidth="1"/>
    <col min="14" max="14" width="10.00390625" style="0" customWidth="1"/>
    <col min="15" max="15" width="9.00390625" style="0" customWidth="1"/>
    <col min="16" max="16" width="7.875" style="0" customWidth="1"/>
    <col min="17" max="17" width="9.50390625" style="0" customWidth="1"/>
    <col min="18" max="18" width="6.875" style="0" customWidth="1"/>
    <col min="19" max="19" width="6.50390625" style="0" customWidth="1"/>
    <col min="20" max="20" width="7.00390625" style="0" customWidth="1"/>
    <col min="23" max="23" width="9.875" style="0" customWidth="1"/>
    <col min="25" max="25" width="10.625" style="0" hidden="1" customWidth="1"/>
    <col min="26" max="26" width="11.875" style="0" hidden="1" customWidth="1"/>
  </cols>
  <sheetData>
    <row r="3" spans="22:23" ht="17.25">
      <c r="V3" s="1858" t="s">
        <v>3512</v>
      </c>
      <c r="W3" s="1858"/>
    </row>
    <row r="4" ht="15">
      <c r="B4" s="1259" t="s">
        <v>3513</v>
      </c>
    </row>
    <row r="6" spans="2:28" ht="20.25">
      <c r="B6" s="1939" t="s">
        <v>3508</v>
      </c>
      <c r="C6" s="1939"/>
      <c r="D6" s="1939"/>
      <c r="E6" s="1939"/>
      <c r="F6" s="1939"/>
      <c r="G6" s="1939"/>
      <c r="H6" s="1939"/>
      <c r="I6" s="1939"/>
      <c r="J6" s="1939"/>
      <c r="K6" s="1939"/>
      <c r="L6" s="1939"/>
      <c r="M6" s="1939"/>
      <c r="N6" s="1939"/>
      <c r="O6" s="1939"/>
      <c r="P6" s="1939"/>
      <c r="Q6" s="1939"/>
      <c r="R6" s="1939"/>
      <c r="S6" s="1939"/>
      <c r="T6" s="1939"/>
      <c r="U6" s="1939"/>
      <c r="V6" s="1939"/>
      <c r="W6" s="1939"/>
      <c r="X6" s="50"/>
      <c r="Y6" s="50"/>
      <c r="Z6" s="50"/>
      <c r="AA6" s="50"/>
      <c r="AB6" s="50"/>
    </row>
    <row r="7" spans="2:28" ht="12.7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2:28" ht="14.25" thickBot="1">
      <c r="B8" s="695"/>
      <c r="C8" s="50"/>
      <c r="D8" s="50"/>
      <c r="E8" s="50"/>
      <c r="F8" s="50"/>
      <c r="G8" s="50"/>
      <c r="H8" s="50"/>
      <c r="I8" s="50"/>
      <c r="J8" s="696"/>
      <c r="K8" s="50"/>
      <c r="L8" s="50"/>
      <c r="M8" s="50"/>
      <c r="N8" s="50"/>
      <c r="O8" s="697"/>
      <c r="P8" s="697"/>
      <c r="Q8" s="697"/>
      <c r="R8" s="697"/>
      <c r="S8" s="697"/>
      <c r="T8" s="698"/>
      <c r="U8" s="697"/>
      <c r="V8" s="697"/>
      <c r="W8" s="1681" t="s">
        <v>2575</v>
      </c>
      <c r="X8" s="697"/>
      <c r="Y8" s="697"/>
      <c r="Z8" s="697"/>
      <c r="AA8" s="697"/>
      <c r="AB8" s="697"/>
    </row>
    <row r="9" spans="2:28" ht="18" customHeight="1" thickBot="1">
      <c r="B9" s="699"/>
      <c r="C9" s="700" t="s">
        <v>3214</v>
      </c>
      <c r="D9" s="701"/>
      <c r="E9" s="702"/>
      <c r="F9" s="703"/>
      <c r="G9" s="704" t="s">
        <v>3215</v>
      </c>
      <c r="H9" s="701"/>
      <c r="I9" s="703"/>
      <c r="J9" s="704" t="s">
        <v>2578</v>
      </c>
      <c r="K9" s="702"/>
      <c r="L9" s="701"/>
      <c r="M9" s="704" t="s">
        <v>2579</v>
      </c>
      <c r="N9" s="702"/>
      <c r="O9" s="703"/>
      <c r="P9" s="704" t="s">
        <v>2580</v>
      </c>
      <c r="Q9" s="702"/>
      <c r="R9" s="703"/>
      <c r="S9" s="704" t="s">
        <v>2581</v>
      </c>
      <c r="T9" s="702"/>
      <c r="U9" s="705"/>
      <c r="V9" s="704" t="s">
        <v>2582</v>
      </c>
      <c r="W9" s="706"/>
      <c r="X9" s="707"/>
      <c r="Y9" s="697"/>
      <c r="Z9" s="697"/>
      <c r="AA9" s="697"/>
      <c r="AB9" s="697"/>
    </row>
    <row r="10" spans="2:28" ht="20.25" customHeight="1">
      <c r="B10" s="708" t="s">
        <v>2583</v>
      </c>
      <c r="C10" s="709" t="s">
        <v>2584</v>
      </c>
      <c r="D10" s="710" t="s">
        <v>2585</v>
      </c>
      <c r="E10" s="711" t="s">
        <v>2586</v>
      </c>
      <c r="F10" s="709" t="s">
        <v>2584</v>
      </c>
      <c r="G10" s="712" t="s">
        <v>2585</v>
      </c>
      <c r="H10" s="711" t="s">
        <v>2586</v>
      </c>
      <c r="I10" s="709" t="s">
        <v>2584</v>
      </c>
      <c r="J10" s="712" t="s">
        <v>2585</v>
      </c>
      <c r="K10" s="711" t="s">
        <v>2586</v>
      </c>
      <c r="L10" s="709" t="s">
        <v>2584</v>
      </c>
      <c r="M10" s="712" t="s">
        <v>2585</v>
      </c>
      <c r="N10" s="711" t="s">
        <v>2586</v>
      </c>
      <c r="O10" s="709" t="s">
        <v>2584</v>
      </c>
      <c r="P10" s="710" t="s">
        <v>2585</v>
      </c>
      <c r="Q10" s="713" t="s">
        <v>2586</v>
      </c>
      <c r="R10" s="714" t="s">
        <v>2584</v>
      </c>
      <c r="S10" s="715" t="s">
        <v>2585</v>
      </c>
      <c r="T10" s="711" t="s">
        <v>2586</v>
      </c>
      <c r="U10" s="714" t="s">
        <v>2584</v>
      </c>
      <c r="V10" s="715" t="s">
        <v>2585</v>
      </c>
      <c r="W10" s="711" t="s">
        <v>2586</v>
      </c>
      <c r="X10" s="707"/>
      <c r="Y10" s="707" t="s">
        <v>3216</v>
      </c>
      <c r="Z10" s="707" t="s">
        <v>3217</v>
      </c>
      <c r="AA10" s="707"/>
      <c r="AB10" s="707"/>
    </row>
    <row r="11" spans="2:28" ht="4.5" customHeight="1" thickBot="1">
      <c r="B11" s="716"/>
      <c r="C11" s="717"/>
      <c r="D11" s="718"/>
      <c r="E11" s="719"/>
      <c r="F11" s="720"/>
      <c r="G11" s="721"/>
      <c r="H11" s="722"/>
      <c r="I11" s="723"/>
      <c r="J11" s="724"/>
      <c r="K11" s="725"/>
      <c r="L11" s="720"/>
      <c r="M11" s="724"/>
      <c r="N11" s="725"/>
      <c r="O11" s="724"/>
      <c r="P11" s="726"/>
      <c r="Q11" s="727"/>
      <c r="R11" s="723"/>
      <c r="S11" s="720"/>
      <c r="T11" s="719"/>
      <c r="U11" s="728"/>
      <c r="V11" s="729"/>
      <c r="W11" s="719"/>
      <c r="X11" s="730"/>
      <c r="Y11" s="697"/>
      <c r="Z11" s="697"/>
      <c r="AA11" s="697"/>
      <c r="AB11" s="697"/>
    </row>
    <row r="12" spans="2:28" ht="19.5" customHeight="1">
      <c r="B12" s="731" t="s">
        <v>2723</v>
      </c>
      <c r="C12" s="732">
        <v>29726</v>
      </c>
      <c r="D12" s="733">
        <v>34346</v>
      </c>
      <c r="E12" s="734">
        <f>33847+519</f>
        <v>34366</v>
      </c>
      <c r="F12" s="735">
        <v>10242</v>
      </c>
      <c r="G12" s="736">
        <v>11804</v>
      </c>
      <c r="H12" s="737">
        <v>11804</v>
      </c>
      <c r="I12" s="738">
        <v>585</v>
      </c>
      <c r="J12" s="739">
        <v>677</v>
      </c>
      <c r="K12" s="734">
        <v>677</v>
      </c>
      <c r="L12" s="735">
        <v>43802</v>
      </c>
      <c r="M12" s="736">
        <v>46459</v>
      </c>
      <c r="N12" s="740">
        <f>47733.429-677-60-25.764</f>
        <v>46970.66499999999</v>
      </c>
      <c r="O12" s="736">
        <v>16366</v>
      </c>
      <c r="P12" s="733">
        <v>16262</v>
      </c>
      <c r="Q12" s="736">
        <f>16258.983-104.425</f>
        <v>16154.558</v>
      </c>
      <c r="R12" s="738">
        <v>0</v>
      </c>
      <c r="S12" s="735">
        <v>97</v>
      </c>
      <c r="T12" s="734">
        <v>97</v>
      </c>
      <c r="U12" s="735">
        <f aca="true" t="shared" si="0" ref="U12:W18">C12+F12+I12+L12+O12+R12</f>
        <v>100721</v>
      </c>
      <c r="V12" s="733">
        <f>D12+G12+J12+M12+P12+S12-37</f>
        <v>109608</v>
      </c>
      <c r="W12" s="734">
        <f>E12+H12+K12+N12+Q12+T12-37</f>
        <v>110032.223</v>
      </c>
      <c r="X12" s="741"/>
      <c r="Y12" s="742">
        <v>130.189</v>
      </c>
      <c r="Z12" s="742">
        <f>W12+Y12</f>
        <v>110162.412</v>
      </c>
      <c r="AA12" s="741"/>
      <c r="AB12" s="741"/>
    </row>
    <row r="13" spans="2:28" ht="19.5" customHeight="1">
      <c r="B13" s="731" t="s">
        <v>2724</v>
      </c>
      <c r="C13" s="743">
        <v>28432</v>
      </c>
      <c r="D13" s="744">
        <v>34653</v>
      </c>
      <c r="E13" s="745">
        <f>34355.055+298.987</f>
        <v>34654.042</v>
      </c>
      <c r="F13" s="746">
        <v>9812</v>
      </c>
      <c r="G13" s="747">
        <v>12044</v>
      </c>
      <c r="H13" s="748">
        <v>12042.958</v>
      </c>
      <c r="I13" s="749">
        <v>561</v>
      </c>
      <c r="J13" s="746">
        <v>687</v>
      </c>
      <c r="K13" s="750">
        <v>687.081</v>
      </c>
      <c r="L13" s="746">
        <v>29640</v>
      </c>
      <c r="M13" s="747">
        <v>27615</v>
      </c>
      <c r="N13" s="750">
        <f>28312.212-687.081</f>
        <v>27625.131</v>
      </c>
      <c r="O13" s="747">
        <v>4710</v>
      </c>
      <c r="P13" s="744">
        <v>5325</v>
      </c>
      <c r="Q13" s="747">
        <f>5320.869-226.302</f>
        <v>5094.567</v>
      </c>
      <c r="R13" s="749"/>
      <c r="S13" s="746"/>
      <c r="T13" s="745"/>
      <c r="U13" s="746">
        <f t="shared" si="0"/>
        <v>73155</v>
      </c>
      <c r="V13" s="744">
        <f t="shared" si="0"/>
        <v>80324</v>
      </c>
      <c r="W13" s="745">
        <f t="shared" si="0"/>
        <v>80103.779</v>
      </c>
      <c r="X13" s="741"/>
      <c r="Y13" s="742">
        <v>226.302</v>
      </c>
      <c r="Z13" s="742">
        <f>W13+Y13</f>
        <v>80330.08099999999</v>
      </c>
      <c r="AA13" s="741"/>
      <c r="AB13" s="741"/>
    </row>
    <row r="14" spans="2:28" ht="19.5" customHeight="1">
      <c r="B14" s="751" t="s">
        <v>2725</v>
      </c>
      <c r="C14" s="752">
        <v>22926</v>
      </c>
      <c r="D14" s="733">
        <v>26527</v>
      </c>
      <c r="E14" s="734">
        <f>26338+189</f>
        <v>26527</v>
      </c>
      <c r="F14" s="746">
        <v>7958</v>
      </c>
      <c r="G14" s="736">
        <v>9201</v>
      </c>
      <c r="H14" s="748">
        <v>9201</v>
      </c>
      <c r="I14" s="749">
        <v>455</v>
      </c>
      <c r="J14" s="735">
        <v>527</v>
      </c>
      <c r="K14" s="734">
        <v>526.536</v>
      </c>
      <c r="L14" s="735">
        <v>14877</v>
      </c>
      <c r="M14" s="736">
        <v>14877</v>
      </c>
      <c r="N14" s="740">
        <f>15415.63-526.536</f>
        <v>14889.094</v>
      </c>
      <c r="O14" s="747">
        <v>2525</v>
      </c>
      <c r="P14" s="733">
        <v>2825</v>
      </c>
      <c r="Q14" s="736">
        <f>2825-145.004</f>
        <v>2679.996</v>
      </c>
      <c r="R14" s="749"/>
      <c r="S14" s="735"/>
      <c r="T14" s="734"/>
      <c r="U14" s="746">
        <f t="shared" si="0"/>
        <v>48741</v>
      </c>
      <c r="V14" s="744">
        <f t="shared" si="0"/>
        <v>53957</v>
      </c>
      <c r="W14" s="745">
        <f t="shared" si="0"/>
        <v>53823.626</v>
      </c>
      <c r="X14" s="741"/>
      <c r="Y14" s="742">
        <v>145.004</v>
      </c>
      <c r="Z14" s="742">
        <f aca="true" t="shared" si="1" ref="Z14:Z19">W14+Y14</f>
        <v>53968.63</v>
      </c>
      <c r="AA14" s="741"/>
      <c r="AB14" s="741"/>
    </row>
    <row r="15" spans="2:28" ht="19.5" customHeight="1">
      <c r="B15" s="751" t="s">
        <v>2726</v>
      </c>
      <c r="C15" s="743">
        <v>25097</v>
      </c>
      <c r="D15" s="744">
        <v>29040</v>
      </c>
      <c r="E15" s="745">
        <f>28317.752+628.292</f>
        <v>28946.044</v>
      </c>
      <c r="F15" s="746">
        <v>8619</v>
      </c>
      <c r="G15" s="747">
        <v>9966</v>
      </c>
      <c r="H15" s="748">
        <v>9946.943</v>
      </c>
      <c r="I15" s="749">
        <v>493</v>
      </c>
      <c r="J15" s="746">
        <v>566</v>
      </c>
      <c r="K15" s="750">
        <v>566</v>
      </c>
      <c r="L15" s="746">
        <v>18141</v>
      </c>
      <c r="M15" s="747">
        <v>19681</v>
      </c>
      <c r="N15" s="750">
        <f>20353.577-566-30</f>
        <v>19757.577</v>
      </c>
      <c r="O15" s="747">
        <v>2770</v>
      </c>
      <c r="P15" s="744">
        <v>3570</v>
      </c>
      <c r="Q15" s="747">
        <f>3569.999-67.327</f>
        <v>3502.6719999999996</v>
      </c>
      <c r="R15" s="749"/>
      <c r="S15" s="746"/>
      <c r="T15" s="745"/>
      <c r="U15" s="746">
        <f t="shared" si="0"/>
        <v>55120</v>
      </c>
      <c r="V15" s="744">
        <f t="shared" si="0"/>
        <v>62823</v>
      </c>
      <c r="W15" s="745">
        <f t="shared" si="0"/>
        <v>62719.236</v>
      </c>
      <c r="X15" s="741"/>
      <c r="Y15" s="742">
        <v>209.827</v>
      </c>
      <c r="Z15" s="742">
        <f t="shared" si="1"/>
        <v>62929.062999999995</v>
      </c>
      <c r="AA15" s="741"/>
      <c r="AB15" s="741"/>
    </row>
    <row r="16" spans="2:28" ht="19.5" customHeight="1">
      <c r="B16" s="751" t="s">
        <v>2727</v>
      </c>
      <c r="C16" s="752">
        <v>24038</v>
      </c>
      <c r="D16" s="733">
        <v>27098</v>
      </c>
      <c r="E16" s="734">
        <f>26492.953+605</f>
        <v>27097.953</v>
      </c>
      <c r="F16" s="746">
        <v>8277</v>
      </c>
      <c r="G16" s="736">
        <v>9441</v>
      </c>
      <c r="H16" s="748">
        <v>9403.907</v>
      </c>
      <c r="I16" s="749">
        <v>473</v>
      </c>
      <c r="J16" s="735">
        <v>530</v>
      </c>
      <c r="K16" s="734">
        <v>530</v>
      </c>
      <c r="L16" s="735">
        <v>18003</v>
      </c>
      <c r="M16" s="736">
        <v>18303</v>
      </c>
      <c r="N16" s="740">
        <f>18867.506-530-36</f>
        <v>18301.506</v>
      </c>
      <c r="O16" s="747">
        <v>20570</v>
      </c>
      <c r="P16" s="733">
        <v>24058</v>
      </c>
      <c r="Q16" s="736">
        <f>24039.153-7254.368</f>
        <v>16784.784999999996</v>
      </c>
      <c r="R16" s="749"/>
      <c r="S16" s="735">
        <v>132</v>
      </c>
      <c r="T16" s="734">
        <v>132</v>
      </c>
      <c r="U16" s="746">
        <f t="shared" si="0"/>
        <v>71361</v>
      </c>
      <c r="V16" s="744">
        <f>D16+G16+J16+M16+P16+S16-70-26</f>
        <v>79466</v>
      </c>
      <c r="W16" s="745">
        <f>E16+H16+K16+N16+Q16+T16-70-26</f>
        <v>72154.151</v>
      </c>
      <c r="X16" s="741"/>
      <c r="Y16" s="742">
        <v>7254.368</v>
      </c>
      <c r="Z16" s="742">
        <f t="shared" si="1"/>
        <v>79408.519</v>
      </c>
      <c r="AA16" s="741"/>
      <c r="AB16" s="741"/>
    </row>
    <row r="17" spans="2:28" ht="19.5" customHeight="1">
      <c r="B17" s="751" t="s">
        <v>2728</v>
      </c>
      <c r="C17" s="743">
        <v>26184</v>
      </c>
      <c r="D17" s="744">
        <v>30796</v>
      </c>
      <c r="E17" s="745">
        <f>30314+481.341</f>
        <v>30795.341</v>
      </c>
      <c r="F17" s="746">
        <v>9032</v>
      </c>
      <c r="G17" s="747">
        <v>10706</v>
      </c>
      <c r="H17" s="748">
        <v>10706</v>
      </c>
      <c r="I17" s="749">
        <v>516</v>
      </c>
      <c r="J17" s="746">
        <v>606</v>
      </c>
      <c r="K17" s="750">
        <v>606</v>
      </c>
      <c r="L17" s="746">
        <v>25330</v>
      </c>
      <c r="M17" s="747">
        <v>25730</v>
      </c>
      <c r="N17" s="750">
        <f>26324.423-606-856</f>
        <v>24862.423</v>
      </c>
      <c r="O17" s="747">
        <v>3472</v>
      </c>
      <c r="P17" s="744">
        <v>3672</v>
      </c>
      <c r="Q17" s="747">
        <f>3667.323-87</f>
        <v>3580.323</v>
      </c>
      <c r="R17" s="749"/>
      <c r="S17" s="746"/>
      <c r="T17" s="745"/>
      <c r="U17" s="746">
        <f t="shared" si="0"/>
        <v>64534</v>
      </c>
      <c r="V17" s="744">
        <f>D17+G17+J17+M17+P17+S17</f>
        <v>71510</v>
      </c>
      <c r="W17" s="745">
        <f>E17+H17+K17+N17+Q17+T17</f>
        <v>70550.087</v>
      </c>
      <c r="X17" s="741"/>
      <c r="Y17" s="742">
        <v>943</v>
      </c>
      <c r="Z17" s="742">
        <f t="shared" si="1"/>
        <v>71493.087</v>
      </c>
      <c r="AA17" s="741"/>
      <c r="AB17" s="741"/>
    </row>
    <row r="18" spans="2:28" ht="19.5" customHeight="1">
      <c r="B18" s="751" t="s">
        <v>2729</v>
      </c>
      <c r="C18" s="743">
        <v>42041</v>
      </c>
      <c r="D18" s="744">
        <v>48997</v>
      </c>
      <c r="E18" s="745">
        <f>48607.262+374.205</f>
        <v>48981.467000000004</v>
      </c>
      <c r="F18" s="746">
        <v>14612</v>
      </c>
      <c r="G18" s="747">
        <v>17057</v>
      </c>
      <c r="H18" s="748">
        <v>17057</v>
      </c>
      <c r="I18" s="749">
        <v>835</v>
      </c>
      <c r="J18" s="746">
        <v>972</v>
      </c>
      <c r="K18" s="745">
        <v>972</v>
      </c>
      <c r="L18" s="746">
        <v>44734</v>
      </c>
      <c r="M18" s="747">
        <v>44226</v>
      </c>
      <c r="N18" s="750">
        <f>45247.162-972-449.734</f>
        <v>43825.428</v>
      </c>
      <c r="O18" s="747">
        <v>20944</v>
      </c>
      <c r="P18" s="744">
        <v>65897</v>
      </c>
      <c r="Q18" s="747">
        <f>65896.592-920</f>
        <v>64976.592000000004</v>
      </c>
      <c r="R18" s="749"/>
      <c r="S18" s="746"/>
      <c r="T18" s="745"/>
      <c r="U18" s="746">
        <f t="shared" si="0"/>
        <v>123166</v>
      </c>
      <c r="V18" s="744">
        <f>D18+G18+J18+M18+P18+S18</f>
        <v>177149</v>
      </c>
      <c r="W18" s="745">
        <f>E18+H18+K18+N18+Q18+T18</f>
        <v>175812.48700000002</v>
      </c>
      <c r="X18" s="741"/>
      <c r="Y18" s="742">
        <v>1369.734</v>
      </c>
      <c r="Z18" s="742">
        <f t="shared" si="1"/>
        <v>177182.22100000002</v>
      </c>
      <c r="AA18" s="741"/>
      <c r="AB18" s="741"/>
    </row>
    <row r="19" spans="2:28" ht="19.5" customHeight="1" thickBot="1">
      <c r="B19" s="751" t="s">
        <v>2730</v>
      </c>
      <c r="C19" s="752">
        <v>33790</v>
      </c>
      <c r="D19" s="733">
        <v>38943</v>
      </c>
      <c r="E19" s="734">
        <f>38597+346</f>
        <v>38943</v>
      </c>
      <c r="F19" s="735">
        <v>11715</v>
      </c>
      <c r="G19" s="736">
        <v>13618</v>
      </c>
      <c r="H19" s="737">
        <v>13618</v>
      </c>
      <c r="I19" s="738">
        <v>669</v>
      </c>
      <c r="J19" s="735">
        <v>772</v>
      </c>
      <c r="K19" s="734">
        <v>772</v>
      </c>
      <c r="L19" s="735">
        <v>39198</v>
      </c>
      <c r="M19" s="736">
        <v>39198</v>
      </c>
      <c r="N19" s="740">
        <f>40021.369-25.175-772</f>
        <v>39224.193999999996</v>
      </c>
      <c r="O19" s="736">
        <v>14217</v>
      </c>
      <c r="P19" s="733">
        <v>14517</v>
      </c>
      <c r="Q19" s="736">
        <f>14517-94.366</f>
        <v>14422.634</v>
      </c>
      <c r="R19" s="738"/>
      <c r="S19" s="735"/>
      <c r="T19" s="734"/>
      <c r="U19" s="735">
        <f>C19+F19+I19+L19+O19</f>
        <v>99589</v>
      </c>
      <c r="V19" s="744">
        <f>D19+G19+J19+M19+P19</f>
        <v>107048</v>
      </c>
      <c r="W19" s="734">
        <f>E19+H19+K19+N19+Q19+T19</f>
        <v>106979.828</v>
      </c>
      <c r="X19" s="741"/>
      <c r="Y19" s="742">
        <v>119.54</v>
      </c>
      <c r="Z19" s="742">
        <f t="shared" si="1"/>
        <v>107099.36799999999</v>
      </c>
      <c r="AA19" s="741"/>
      <c r="AB19" s="741"/>
    </row>
    <row r="20" spans="2:28" ht="19.5" customHeight="1" thickBot="1">
      <c r="B20" s="753" t="s">
        <v>3218</v>
      </c>
      <c r="C20" s="754">
        <f aca="true" t="shared" si="2" ref="C20:N20">SUM(C12:C19)</f>
        <v>232234</v>
      </c>
      <c r="D20" s="755">
        <f t="shared" si="2"/>
        <v>270400</v>
      </c>
      <c r="E20" s="756">
        <f t="shared" si="2"/>
        <v>270310.847</v>
      </c>
      <c r="F20" s="757">
        <f t="shared" si="2"/>
        <v>80267</v>
      </c>
      <c r="G20" s="757">
        <f t="shared" si="2"/>
        <v>93837</v>
      </c>
      <c r="H20" s="756">
        <f t="shared" si="2"/>
        <v>93779.80799999999</v>
      </c>
      <c r="I20" s="758">
        <f t="shared" si="2"/>
        <v>4587</v>
      </c>
      <c r="J20" s="757">
        <f t="shared" si="2"/>
        <v>5337</v>
      </c>
      <c r="K20" s="756">
        <f t="shared" si="2"/>
        <v>5336.617</v>
      </c>
      <c r="L20" s="757">
        <f t="shared" si="2"/>
        <v>233725</v>
      </c>
      <c r="M20" s="759">
        <f t="shared" si="2"/>
        <v>236089</v>
      </c>
      <c r="N20" s="756">
        <f t="shared" si="2"/>
        <v>235456.018</v>
      </c>
      <c r="O20" s="759">
        <f>SUM(O12:O19)</f>
        <v>85574</v>
      </c>
      <c r="P20" s="755">
        <f>SUM(P12:P19)</f>
        <v>136126</v>
      </c>
      <c r="Q20" s="759">
        <f>SUM(Q12:Q19)</f>
        <v>127196.127</v>
      </c>
      <c r="R20" s="758">
        <v>0</v>
      </c>
      <c r="S20" s="757">
        <f>SUM(S12)</f>
        <v>97</v>
      </c>
      <c r="T20" s="759">
        <f>SUM(T12:T19)</f>
        <v>229</v>
      </c>
      <c r="U20" s="754">
        <f>SUM(U12:U19)</f>
        <v>636387</v>
      </c>
      <c r="V20" s="755">
        <f>SUM(V12:V19)</f>
        <v>741885</v>
      </c>
      <c r="W20" s="760">
        <f>SUM(W12:W19)</f>
        <v>732175.4169999999</v>
      </c>
      <c r="X20" s="761"/>
      <c r="Y20" s="762">
        <f>SUM(Y12:Y19)</f>
        <v>10397.964000000002</v>
      </c>
      <c r="Z20" s="762">
        <f>SUM(Z12:Z19)</f>
        <v>742573.381</v>
      </c>
      <c r="AA20" s="761"/>
      <c r="AB20" s="761"/>
    </row>
    <row r="21" spans="2:28" ht="19.5" customHeight="1">
      <c r="B21" s="763"/>
      <c r="C21" s="761"/>
      <c r="D21" s="761"/>
      <c r="E21" s="761"/>
      <c r="F21" s="761"/>
      <c r="G21" s="761"/>
      <c r="H21" s="762"/>
      <c r="I21" s="761"/>
      <c r="J21" s="761"/>
      <c r="K21" s="761"/>
      <c r="L21" s="761"/>
      <c r="M21" s="761"/>
      <c r="N21" s="761"/>
      <c r="O21" s="761"/>
      <c r="P21" s="761"/>
      <c r="Q21" s="762"/>
      <c r="R21" s="761"/>
      <c r="S21" s="761"/>
      <c r="T21" s="761"/>
      <c r="U21" s="761"/>
      <c r="V21" s="764"/>
      <c r="W21" s="761"/>
      <c r="X21" s="761"/>
      <c r="Y21" s="761"/>
      <c r="Z21" s="761"/>
      <c r="AA21" s="761"/>
      <c r="AB21" s="761"/>
    </row>
    <row r="22" spans="2:28" ht="12.75">
      <c r="B22" s="765" t="s">
        <v>2717</v>
      </c>
      <c r="C22" s="50"/>
      <c r="D22" s="736"/>
      <c r="E22" s="766"/>
      <c r="F22" s="736"/>
      <c r="G22" s="736"/>
      <c r="H22" s="736"/>
      <c r="I22" s="736"/>
      <c r="J22" s="767"/>
      <c r="K22" s="767"/>
      <c r="L22" s="50"/>
      <c r="M22" s="50"/>
      <c r="N22" s="50"/>
      <c r="O22" s="697"/>
      <c r="P22" s="697"/>
      <c r="Q22" s="742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</row>
    <row r="23" spans="2:28" ht="12.75">
      <c r="B23" s="50" t="s">
        <v>2718</v>
      </c>
      <c r="C23" s="50"/>
      <c r="H23" s="736"/>
      <c r="I23" s="736"/>
      <c r="J23" s="767"/>
      <c r="K23" s="767"/>
      <c r="L23" s="50"/>
      <c r="M23" s="50"/>
      <c r="N23" s="50"/>
      <c r="O23" s="50"/>
      <c r="P23" s="50"/>
      <c r="Q23" s="50"/>
      <c r="R23" s="50"/>
      <c r="T23" s="50"/>
      <c r="U23" s="50"/>
      <c r="V23" s="1949"/>
      <c r="W23" s="1949"/>
      <c r="X23" s="50"/>
      <c r="Y23" s="50"/>
      <c r="Z23" s="50"/>
      <c r="AA23" s="50"/>
      <c r="AB23" s="50"/>
    </row>
    <row r="24" spans="2:28" ht="12.75">
      <c r="B24" s="50" t="s">
        <v>3219</v>
      </c>
      <c r="C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T24" s="50"/>
      <c r="U24" s="1178"/>
      <c r="V24" s="50"/>
      <c r="W24" s="50"/>
      <c r="X24" s="50"/>
      <c r="Y24" s="50"/>
      <c r="Z24" s="50"/>
      <c r="AA24" s="50"/>
      <c r="AB24" s="50"/>
    </row>
    <row r="25" spans="2:8" ht="12.75">
      <c r="B25" s="50"/>
      <c r="C25" s="50"/>
      <c r="D25" s="50"/>
      <c r="E25" s="50"/>
      <c r="F25" s="50"/>
      <c r="G25" s="50"/>
      <c r="H25" s="50"/>
    </row>
    <row r="26" spans="2:23" ht="13.5">
      <c r="B26" s="1192" t="s">
        <v>3728</v>
      </c>
      <c r="C26" s="50"/>
      <c r="D26" s="50"/>
      <c r="E26" s="50"/>
      <c r="F26" s="50"/>
      <c r="G26" s="50"/>
      <c r="H26" s="50"/>
      <c r="Q26" t="s">
        <v>3602</v>
      </c>
      <c r="V26" s="1853" t="s">
        <v>3510</v>
      </c>
      <c r="W26" s="1853"/>
    </row>
    <row r="27" spans="2:8" ht="13.5">
      <c r="B27" s="1192"/>
      <c r="C27" s="50"/>
      <c r="D27" s="50"/>
      <c r="E27" s="50"/>
      <c r="F27" s="50"/>
      <c r="G27" s="50"/>
      <c r="H27" s="50"/>
    </row>
    <row r="28" spans="3:8" ht="12.75">
      <c r="C28" s="50"/>
      <c r="D28" s="50"/>
      <c r="E28" s="50"/>
      <c r="F28" s="50"/>
      <c r="G28" s="50"/>
      <c r="H28" s="50"/>
    </row>
    <row r="29" spans="3:8" ht="12.75">
      <c r="C29" s="50"/>
      <c r="H29" s="50"/>
    </row>
    <row r="30" spans="3:8" ht="12.75">
      <c r="C30" s="50"/>
      <c r="H30" s="50"/>
    </row>
    <row r="31" spans="2:8" ht="12.75">
      <c r="B31" s="50"/>
      <c r="C31" s="50"/>
      <c r="D31" s="50"/>
      <c r="E31" s="50"/>
      <c r="F31" s="50"/>
      <c r="G31" s="50"/>
      <c r="H31" s="50"/>
    </row>
    <row r="32" spans="2:8" ht="12.75">
      <c r="B32" s="50"/>
      <c r="C32" s="50"/>
      <c r="D32" s="50"/>
      <c r="E32" s="50"/>
      <c r="F32" s="50"/>
      <c r="G32" s="50"/>
      <c r="H32" s="50"/>
    </row>
    <row r="33" spans="2:8" ht="12.75">
      <c r="B33" s="50"/>
      <c r="C33" s="50"/>
      <c r="D33" s="50"/>
      <c r="E33" s="50"/>
      <c r="F33" s="50"/>
      <c r="G33" s="50"/>
      <c r="H33" s="50"/>
    </row>
    <row r="34" spans="2:8" ht="12.75">
      <c r="B34" s="50"/>
      <c r="C34" s="50"/>
      <c r="D34" s="50"/>
      <c r="E34" s="50"/>
      <c r="F34" s="50"/>
      <c r="G34" s="50"/>
      <c r="H34" s="50"/>
    </row>
  </sheetData>
  <mergeCells count="4">
    <mergeCell ref="V3:W3"/>
    <mergeCell ref="V23:W23"/>
    <mergeCell ref="B6:W6"/>
    <mergeCell ref="V26:W2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Footer>&amp;C&amp;P+139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157"/>
  <sheetViews>
    <sheetView workbookViewId="0" topLeftCell="A1">
      <selection activeCell="A2" sqref="A2:AE2"/>
    </sheetView>
  </sheetViews>
  <sheetFormatPr defaultColWidth="9.00390625" defaultRowHeight="12.75"/>
  <cols>
    <col min="1" max="1" width="28.625" style="50" customWidth="1"/>
    <col min="2" max="4" width="13.375" style="50" hidden="1" customWidth="1"/>
    <col min="5" max="5" width="11.625" style="50" hidden="1" customWidth="1"/>
    <col min="6" max="6" width="15.00390625" style="50" customWidth="1"/>
    <col min="7" max="7" width="13.375" style="50" customWidth="1"/>
    <col min="8" max="8" width="16.00390625" style="50" customWidth="1"/>
    <col min="9" max="9" width="10.875" style="50" customWidth="1"/>
    <col min="10" max="11" width="11.50390625" style="50" hidden="1" customWidth="1"/>
    <col min="12" max="12" width="12.625" style="50" customWidth="1"/>
    <col min="13" max="13" width="14.375" style="50" hidden="1" customWidth="1"/>
    <col min="14" max="14" width="12.625" style="50" hidden="1" customWidth="1"/>
    <col min="15" max="15" width="13.625" style="50" customWidth="1"/>
    <col min="16" max="17" width="13.50390625" style="50" customWidth="1"/>
    <col min="18" max="18" width="12.625" style="50" customWidth="1"/>
    <col min="19" max="19" width="13.625" style="50" customWidth="1"/>
    <col min="20" max="22" width="12.00390625" style="50" customWidth="1"/>
    <col min="23" max="23" width="12.00390625" style="50" hidden="1" customWidth="1"/>
    <col min="24" max="24" width="11.00390625" style="50" hidden="1" customWidth="1"/>
    <col min="25" max="25" width="12.00390625" style="50" hidden="1" customWidth="1"/>
    <col min="26" max="26" width="13.875" style="50" hidden="1" customWidth="1"/>
    <col min="27" max="29" width="12.00390625" style="50" customWidth="1"/>
    <col min="30" max="31" width="12.50390625" style="50" customWidth="1"/>
    <col min="32" max="32" width="11.625" style="50" hidden="1" customWidth="1"/>
    <col min="33" max="33" width="12.625" style="50" hidden="1" customWidth="1"/>
    <col min="34" max="34" width="11.00390625" style="50" hidden="1" customWidth="1"/>
    <col min="35" max="35" width="9.125" style="50" customWidth="1"/>
    <col min="36" max="36" width="14.625" style="50" customWidth="1"/>
    <col min="37" max="16384" width="9.125" style="50" customWidth="1"/>
  </cols>
  <sheetData>
    <row r="1" spans="1:31" ht="18">
      <c r="A1" s="1340" t="s">
        <v>3513</v>
      </c>
      <c r="AE1" s="1498" t="s">
        <v>3729</v>
      </c>
    </row>
    <row r="2" spans="1:33" ht="18" customHeight="1">
      <c r="A2" s="1939" t="s">
        <v>3220</v>
      </c>
      <c r="B2" s="1939"/>
      <c r="C2" s="1939"/>
      <c r="D2" s="1939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39"/>
      <c r="P2" s="1939"/>
      <c r="Q2" s="1939"/>
      <c r="R2" s="1939"/>
      <c r="S2" s="1939"/>
      <c r="T2" s="1939"/>
      <c r="U2" s="1939"/>
      <c r="V2" s="1939"/>
      <c r="W2" s="1939"/>
      <c r="X2" s="1939"/>
      <c r="Y2" s="1939"/>
      <c r="Z2" s="1939"/>
      <c r="AA2" s="1939"/>
      <c r="AB2" s="1939"/>
      <c r="AC2" s="1939"/>
      <c r="AD2" s="1939"/>
      <c r="AE2" s="1939"/>
      <c r="AF2"/>
      <c r="AG2" s="271" t="s">
        <v>3221</v>
      </c>
    </row>
    <row r="3" spans="9:22" ht="12" customHeight="1">
      <c r="I3" s="768"/>
      <c r="U3" s="768"/>
      <c r="V3" s="768"/>
    </row>
    <row r="4" spans="5:33" ht="15.75" thickBot="1">
      <c r="E4" s="769"/>
      <c r="F4" s="769"/>
      <c r="G4" s="769"/>
      <c r="L4" s="768"/>
      <c r="AB4" s="768"/>
      <c r="AC4" s="768"/>
      <c r="AD4" s="768"/>
      <c r="AE4" s="1177" t="s">
        <v>2575</v>
      </c>
      <c r="AF4" s="768"/>
      <c r="AG4" s="769" t="s">
        <v>2575</v>
      </c>
    </row>
    <row r="5" spans="1:34" ht="19.5" customHeight="1" thickBot="1" thickTop="1">
      <c r="A5" s="770"/>
      <c r="B5" s="771"/>
      <c r="C5" s="772" t="s">
        <v>2615</v>
      </c>
      <c r="D5" s="773"/>
      <c r="E5" s="774"/>
      <c r="F5" s="773"/>
      <c r="G5" s="771"/>
      <c r="H5" s="775"/>
      <c r="I5" s="776" t="s">
        <v>3222</v>
      </c>
      <c r="J5" s="777"/>
      <c r="K5" s="777"/>
      <c r="L5" s="778"/>
      <c r="M5" s="777"/>
      <c r="N5" s="777"/>
      <c r="O5" s="779"/>
      <c r="P5" s="780"/>
      <c r="Q5" s="772" t="s">
        <v>3222</v>
      </c>
      <c r="R5" s="780"/>
      <c r="S5" s="781"/>
      <c r="T5" s="781"/>
      <c r="U5" s="782"/>
      <c r="V5" s="781"/>
      <c r="W5" s="780"/>
      <c r="X5" s="780"/>
      <c r="Y5" s="780"/>
      <c r="Z5" s="782"/>
      <c r="AA5" s="782"/>
      <c r="AB5" s="780" t="s">
        <v>3222</v>
      </c>
      <c r="AC5" s="780"/>
      <c r="AD5" s="780"/>
      <c r="AE5" s="783"/>
      <c r="AF5" s="784"/>
      <c r="AG5" s="785"/>
      <c r="AH5" s="786"/>
    </row>
    <row r="6" spans="1:35" ht="19.5" customHeight="1" thickBot="1">
      <c r="A6" s="787" t="s">
        <v>3223</v>
      </c>
      <c r="B6" s="788" t="s">
        <v>3224</v>
      </c>
      <c r="C6" s="789" t="s">
        <v>3225</v>
      </c>
      <c r="D6" s="790" t="s">
        <v>3224</v>
      </c>
      <c r="E6" s="791" t="s">
        <v>3222</v>
      </c>
      <c r="F6" s="792" t="s">
        <v>3226</v>
      </c>
      <c r="G6" s="788" t="s">
        <v>3227</v>
      </c>
      <c r="H6" s="792" t="s">
        <v>3226</v>
      </c>
      <c r="I6" s="793" t="s">
        <v>3228</v>
      </c>
      <c r="J6" s="794" t="s">
        <v>3222</v>
      </c>
      <c r="K6" s="792"/>
      <c r="L6" s="795" t="s">
        <v>3226</v>
      </c>
      <c r="M6" s="794" t="s">
        <v>2615</v>
      </c>
      <c r="N6" s="796"/>
      <c r="O6" s="788" t="s">
        <v>2734</v>
      </c>
      <c r="P6" s="797" t="s">
        <v>3229</v>
      </c>
      <c r="Q6" s="789" t="s">
        <v>3230</v>
      </c>
      <c r="R6" s="798" t="s">
        <v>3231</v>
      </c>
      <c r="S6" s="799" t="s">
        <v>3232</v>
      </c>
      <c r="T6" s="788" t="s">
        <v>3227</v>
      </c>
      <c r="U6" s="800" t="s">
        <v>3233</v>
      </c>
      <c r="V6" s="788" t="s">
        <v>3234</v>
      </c>
      <c r="W6" s="801" t="s">
        <v>3222</v>
      </c>
      <c r="X6" s="697"/>
      <c r="Y6" s="802"/>
      <c r="Z6" s="803"/>
      <c r="AA6" s="800" t="s">
        <v>3231</v>
      </c>
      <c r="AB6" s="796" t="s">
        <v>3235</v>
      </c>
      <c r="AC6" s="804" t="s">
        <v>3236</v>
      </c>
      <c r="AD6" s="805"/>
      <c r="AE6" s="806"/>
      <c r="AF6" s="807"/>
      <c r="AG6" s="808"/>
      <c r="AH6" s="809"/>
      <c r="AI6" s="810"/>
    </row>
    <row r="7" spans="1:41" ht="21" customHeight="1" thickBot="1">
      <c r="A7" s="811"/>
      <c r="B7" s="788" t="s">
        <v>2688</v>
      </c>
      <c r="C7" s="812" t="s">
        <v>3237</v>
      </c>
      <c r="D7" s="812" t="s">
        <v>3238</v>
      </c>
      <c r="E7" s="813" t="s">
        <v>3239</v>
      </c>
      <c r="F7" s="800" t="s">
        <v>2688</v>
      </c>
      <c r="G7" s="788" t="s">
        <v>3216</v>
      </c>
      <c r="H7" s="800" t="s">
        <v>2688</v>
      </c>
      <c r="I7" s="814" t="s">
        <v>3240</v>
      </c>
      <c r="J7" s="815" t="s">
        <v>3241</v>
      </c>
      <c r="K7" s="816" t="s">
        <v>3242</v>
      </c>
      <c r="L7" s="812" t="s">
        <v>3243</v>
      </c>
      <c r="M7" s="815" t="s">
        <v>3241</v>
      </c>
      <c r="N7" s="816" t="s">
        <v>3244</v>
      </c>
      <c r="O7" s="788" t="s">
        <v>2688</v>
      </c>
      <c r="P7" s="814" t="s">
        <v>3245</v>
      </c>
      <c r="Q7" s="817" t="s">
        <v>3246</v>
      </c>
      <c r="R7" s="818" t="s">
        <v>3247</v>
      </c>
      <c r="S7" s="799" t="s">
        <v>3248</v>
      </c>
      <c r="T7" s="788" t="s">
        <v>2578</v>
      </c>
      <c r="U7" s="819"/>
      <c r="V7" s="788" t="s">
        <v>3249</v>
      </c>
      <c r="W7" s="789" t="s">
        <v>3231</v>
      </c>
      <c r="X7" s="807" t="s">
        <v>2615</v>
      </c>
      <c r="Y7" s="796" t="s">
        <v>3250</v>
      </c>
      <c r="Z7" s="800" t="s">
        <v>3251</v>
      </c>
      <c r="AA7" s="800" t="s">
        <v>3252</v>
      </c>
      <c r="AB7" s="800" t="s">
        <v>3253</v>
      </c>
      <c r="AC7" s="819" t="s">
        <v>3254</v>
      </c>
      <c r="AD7" s="800" t="s">
        <v>3255</v>
      </c>
      <c r="AE7" s="820" t="s">
        <v>3256</v>
      </c>
      <c r="AF7" s="814" t="s">
        <v>3257</v>
      </c>
      <c r="AG7" s="821" t="s">
        <v>3231</v>
      </c>
      <c r="AH7" s="822" t="s">
        <v>3258</v>
      </c>
      <c r="AN7" s="768"/>
      <c r="AO7" s="768"/>
    </row>
    <row r="8" spans="1:41" ht="19.5" customHeight="1" thickBot="1">
      <c r="A8" s="823"/>
      <c r="B8" s="824"/>
      <c r="C8" s="825" t="s">
        <v>3259</v>
      </c>
      <c r="D8" s="824"/>
      <c r="E8" s="826" t="s">
        <v>3260</v>
      </c>
      <c r="F8" s="827" t="s">
        <v>3261</v>
      </c>
      <c r="G8" s="716"/>
      <c r="H8" s="827" t="s">
        <v>3262</v>
      </c>
      <c r="I8" s="828" t="s">
        <v>2688</v>
      </c>
      <c r="J8" s="829" t="s">
        <v>3263</v>
      </c>
      <c r="K8" s="830" t="s">
        <v>3263</v>
      </c>
      <c r="L8" s="825" t="s">
        <v>3264</v>
      </c>
      <c r="M8" s="831" t="s">
        <v>3263</v>
      </c>
      <c r="N8" s="832" t="s">
        <v>3265</v>
      </c>
      <c r="O8" s="833"/>
      <c r="P8" s="828" t="s">
        <v>2688</v>
      </c>
      <c r="Q8" s="825" t="s">
        <v>2688</v>
      </c>
      <c r="R8" s="802" t="s">
        <v>3266</v>
      </c>
      <c r="S8" s="825" t="s">
        <v>3267</v>
      </c>
      <c r="T8" s="834"/>
      <c r="U8" s="803"/>
      <c r="V8" s="825" t="s">
        <v>2688</v>
      </c>
      <c r="W8" s="825" t="s">
        <v>3268</v>
      </c>
      <c r="X8" s="835" t="s">
        <v>3269</v>
      </c>
      <c r="Y8" s="836" t="s">
        <v>3270</v>
      </c>
      <c r="Z8" s="836" t="s">
        <v>3271</v>
      </c>
      <c r="AA8" s="836" t="s">
        <v>3263</v>
      </c>
      <c r="AB8" s="836" t="s">
        <v>3272</v>
      </c>
      <c r="AC8" s="803" t="s">
        <v>3273</v>
      </c>
      <c r="AD8" s="837" t="s">
        <v>3274</v>
      </c>
      <c r="AE8" s="838" t="s">
        <v>3274</v>
      </c>
      <c r="AF8" s="802" t="s">
        <v>3275</v>
      </c>
      <c r="AG8" s="839" t="s">
        <v>3276</v>
      </c>
      <c r="AH8" s="840" t="s">
        <v>3246</v>
      </c>
      <c r="AI8" s="841"/>
      <c r="AJ8" s="842"/>
      <c r="AK8" s="841"/>
      <c r="AL8" s="841"/>
      <c r="AM8" s="841"/>
      <c r="AN8" s="843"/>
      <c r="AO8" s="843"/>
    </row>
    <row r="9" spans="1:41" ht="19.5" customHeight="1" hidden="1">
      <c r="A9" s="844" t="s">
        <v>3190</v>
      </c>
      <c r="B9" s="845">
        <f aca="true" t="shared" si="0" ref="B9:B17">C9+D9</f>
        <v>4895226</v>
      </c>
      <c r="C9" s="845">
        <v>115099</v>
      </c>
      <c r="D9" s="845">
        <v>4780127</v>
      </c>
      <c r="E9" s="846">
        <v>3936574</v>
      </c>
      <c r="F9" s="847">
        <f>G9+H9</f>
        <v>28880897.406</v>
      </c>
      <c r="G9" s="848">
        <v>657815.62</v>
      </c>
      <c r="H9" s="849">
        <f>I9+L9+O9-166.4</f>
        <v>28223081.786</v>
      </c>
      <c r="I9" s="850">
        <f>J9+K9</f>
        <v>6399.73</v>
      </c>
      <c r="J9" s="845">
        <v>4738.558</v>
      </c>
      <c r="K9" s="845">
        <v>1661.172</v>
      </c>
      <c r="L9" s="845">
        <f aca="true" t="shared" si="1" ref="L9:L17">M9+N9</f>
        <v>1306381.417</v>
      </c>
      <c r="M9" s="845">
        <f>1600088.8-325237.55</f>
        <v>1274851.25</v>
      </c>
      <c r="N9" s="849">
        <f>59291.3-27761.133</f>
        <v>31530.167</v>
      </c>
      <c r="O9" s="845">
        <f aca="true" t="shared" si="2" ref="O9:O20">P9+S9+T9+U9+V9+AA9</f>
        <v>26910467.038999997</v>
      </c>
      <c r="P9" s="851">
        <f aca="true" t="shared" si="3" ref="P9:P17">Q9+R9</f>
        <v>16418192.305</v>
      </c>
      <c r="Q9" s="849">
        <v>16111299.576</v>
      </c>
      <c r="R9" s="849">
        <v>306892.729</v>
      </c>
      <c r="S9" s="845">
        <v>5643646.014</v>
      </c>
      <c r="T9" s="845">
        <v>322227.732</v>
      </c>
      <c r="U9" s="845"/>
      <c r="V9" s="845">
        <v>175453.941</v>
      </c>
      <c r="W9" s="845">
        <v>170020</v>
      </c>
      <c r="X9" s="852">
        <v>165020</v>
      </c>
      <c r="Y9" s="845">
        <v>84200</v>
      </c>
      <c r="Z9" s="850"/>
      <c r="AA9" s="852">
        <f aca="true" t="shared" si="4" ref="AA9:AA19">AB9+AC9+AD9+AE9</f>
        <v>4350947.047</v>
      </c>
      <c r="AB9" s="845"/>
      <c r="AC9" s="845"/>
      <c r="AD9" s="852">
        <v>892380</v>
      </c>
      <c r="AE9" s="846">
        <f>4850059.6-AD9-T9-K9-175245.825-144.224+166.4</f>
        <v>3458567.047</v>
      </c>
      <c r="AF9" s="853">
        <v>1047305</v>
      </c>
      <c r="AG9" s="846">
        <f>2060552-34</f>
        <v>2060518</v>
      </c>
      <c r="AH9" s="809"/>
      <c r="AI9" s="736"/>
      <c r="AJ9" s="736"/>
      <c r="AK9" s="736"/>
      <c r="AL9" s="736"/>
      <c r="AM9" s="736"/>
      <c r="AN9" s="736"/>
      <c r="AO9" s="736"/>
    </row>
    <row r="10" spans="1:40" ht="19.5" customHeight="1" hidden="1">
      <c r="A10" s="854" t="s">
        <v>3277</v>
      </c>
      <c r="B10" s="855">
        <f t="shared" si="0"/>
        <v>0</v>
      </c>
      <c r="C10" s="855"/>
      <c r="D10" s="855">
        <v>0</v>
      </c>
      <c r="E10" s="856">
        <v>0</v>
      </c>
      <c r="F10" s="857"/>
      <c r="G10" s="858"/>
      <c r="H10" s="859">
        <f aca="true" t="shared" si="5" ref="H10:H19">I10+L10+O10</f>
        <v>0</v>
      </c>
      <c r="I10" s="860">
        <f aca="true" t="shared" si="6" ref="I10:I17">J10+K10</f>
        <v>0</v>
      </c>
      <c r="J10" s="855"/>
      <c r="K10" s="855"/>
      <c r="L10" s="855">
        <f t="shared" si="1"/>
        <v>0</v>
      </c>
      <c r="M10" s="855"/>
      <c r="N10" s="859"/>
      <c r="O10" s="861">
        <f t="shared" si="2"/>
        <v>0</v>
      </c>
      <c r="P10" s="862">
        <f t="shared" si="3"/>
        <v>0</v>
      </c>
      <c r="Q10" s="863">
        <v>0</v>
      </c>
      <c r="R10" s="863">
        <v>0</v>
      </c>
      <c r="S10" s="864">
        <v>0</v>
      </c>
      <c r="T10" s="861">
        <v>0</v>
      </c>
      <c r="U10" s="861"/>
      <c r="V10" s="861">
        <f aca="true" t="shared" si="7" ref="V10:V19">W10+Y10</f>
        <v>0</v>
      </c>
      <c r="W10" s="861"/>
      <c r="X10" s="865"/>
      <c r="Y10" s="861"/>
      <c r="Z10" s="866"/>
      <c r="AA10" s="865">
        <f t="shared" si="4"/>
        <v>0</v>
      </c>
      <c r="AB10" s="861"/>
      <c r="AC10" s="861"/>
      <c r="AD10" s="865"/>
      <c r="AE10" s="867">
        <f aca="true" t="shared" si="8" ref="AE10:AE19">AF10+AG10</f>
        <v>0</v>
      </c>
      <c r="AF10" s="868"/>
      <c r="AG10" s="867"/>
      <c r="AH10" s="809"/>
      <c r="AI10" s="736"/>
      <c r="AJ10" s="736"/>
      <c r="AK10" s="736"/>
      <c r="AL10" s="736"/>
      <c r="AM10" s="736"/>
      <c r="AN10" s="736"/>
    </row>
    <row r="11" spans="1:40" ht="19.5" customHeight="1" hidden="1">
      <c r="A11" s="854" t="s">
        <v>3278</v>
      </c>
      <c r="B11" s="855">
        <f t="shared" si="0"/>
        <v>0</v>
      </c>
      <c r="C11" s="855"/>
      <c r="D11" s="869">
        <v>0</v>
      </c>
      <c r="E11" s="856">
        <v>0</v>
      </c>
      <c r="F11" s="857"/>
      <c r="G11" s="858"/>
      <c r="H11" s="859">
        <f t="shared" si="5"/>
        <v>0</v>
      </c>
      <c r="I11" s="860">
        <f t="shared" si="6"/>
        <v>0</v>
      </c>
      <c r="J11" s="855"/>
      <c r="K11" s="855"/>
      <c r="L11" s="855">
        <f t="shared" si="1"/>
        <v>0</v>
      </c>
      <c r="M11" s="855"/>
      <c r="N11" s="859"/>
      <c r="O11" s="861">
        <f t="shared" si="2"/>
        <v>0</v>
      </c>
      <c r="P11" s="862">
        <f t="shared" si="3"/>
        <v>0</v>
      </c>
      <c r="Q11" s="863">
        <v>0</v>
      </c>
      <c r="R11" s="863">
        <v>0</v>
      </c>
      <c r="S11" s="861">
        <v>0</v>
      </c>
      <c r="T11" s="861">
        <v>0</v>
      </c>
      <c r="U11" s="861"/>
      <c r="V11" s="861">
        <f t="shared" si="7"/>
        <v>0</v>
      </c>
      <c r="W11" s="861"/>
      <c r="X11" s="865"/>
      <c r="Y11" s="861"/>
      <c r="Z11" s="866"/>
      <c r="AA11" s="865">
        <f t="shared" si="4"/>
        <v>0</v>
      </c>
      <c r="AB11" s="861"/>
      <c r="AC11" s="861"/>
      <c r="AD11" s="865"/>
      <c r="AE11" s="867">
        <f t="shared" si="8"/>
        <v>0</v>
      </c>
      <c r="AF11" s="868"/>
      <c r="AG11" s="867"/>
      <c r="AH11" s="809"/>
      <c r="AI11" s="736"/>
      <c r="AJ11" s="736"/>
      <c r="AK11" s="736"/>
      <c r="AL11" s="736"/>
      <c r="AM11" s="736"/>
      <c r="AN11" s="736"/>
    </row>
    <row r="12" spans="1:40" ht="19.5" customHeight="1" hidden="1">
      <c r="A12" s="854" t="s">
        <v>3279</v>
      </c>
      <c r="B12" s="855">
        <f t="shared" si="0"/>
        <v>0</v>
      </c>
      <c r="C12" s="855"/>
      <c r="D12" s="855">
        <v>0</v>
      </c>
      <c r="E12" s="856">
        <v>0</v>
      </c>
      <c r="F12" s="857"/>
      <c r="G12" s="858"/>
      <c r="H12" s="859">
        <f t="shared" si="5"/>
        <v>0</v>
      </c>
      <c r="I12" s="860">
        <f t="shared" si="6"/>
        <v>0</v>
      </c>
      <c r="J12" s="855"/>
      <c r="K12" s="855"/>
      <c r="L12" s="855">
        <f t="shared" si="1"/>
        <v>0</v>
      </c>
      <c r="M12" s="855"/>
      <c r="N12" s="859"/>
      <c r="O12" s="861">
        <f t="shared" si="2"/>
        <v>0</v>
      </c>
      <c r="P12" s="862">
        <f t="shared" si="3"/>
        <v>0</v>
      </c>
      <c r="Q12" s="863">
        <v>0</v>
      </c>
      <c r="R12" s="863">
        <v>0</v>
      </c>
      <c r="S12" s="861">
        <v>0</v>
      </c>
      <c r="T12" s="861">
        <v>0</v>
      </c>
      <c r="U12" s="861"/>
      <c r="V12" s="861">
        <f t="shared" si="7"/>
        <v>0</v>
      </c>
      <c r="W12" s="861"/>
      <c r="X12" s="865"/>
      <c r="Y12" s="861"/>
      <c r="Z12" s="866"/>
      <c r="AA12" s="865">
        <f t="shared" si="4"/>
        <v>0</v>
      </c>
      <c r="AB12" s="861"/>
      <c r="AC12" s="861"/>
      <c r="AD12" s="865"/>
      <c r="AE12" s="867">
        <f t="shared" si="8"/>
        <v>0</v>
      </c>
      <c r="AF12" s="868"/>
      <c r="AG12" s="867"/>
      <c r="AH12" s="809"/>
      <c r="AI12" s="736"/>
      <c r="AJ12" s="736"/>
      <c r="AK12" s="736"/>
      <c r="AL12" s="736"/>
      <c r="AM12" s="736"/>
      <c r="AN12" s="736"/>
    </row>
    <row r="13" spans="1:40" ht="19.5" customHeight="1" hidden="1">
      <c r="A13" s="854" t="s">
        <v>3280</v>
      </c>
      <c r="B13" s="855">
        <f t="shared" si="0"/>
        <v>0</v>
      </c>
      <c r="C13" s="855"/>
      <c r="D13" s="855">
        <v>0</v>
      </c>
      <c r="E13" s="856">
        <v>0</v>
      </c>
      <c r="F13" s="857"/>
      <c r="G13" s="858"/>
      <c r="H13" s="859">
        <f t="shared" si="5"/>
        <v>0</v>
      </c>
      <c r="I13" s="860">
        <f t="shared" si="6"/>
        <v>0</v>
      </c>
      <c r="J13" s="855"/>
      <c r="K13" s="855"/>
      <c r="L13" s="855">
        <f t="shared" si="1"/>
        <v>0</v>
      </c>
      <c r="M13" s="855"/>
      <c r="N13" s="859"/>
      <c r="O13" s="861">
        <f t="shared" si="2"/>
        <v>0</v>
      </c>
      <c r="P13" s="862">
        <f t="shared" si="3"/>
        <v>0</v>
      </c>
      <c r="Q13" s="863">
        <v>0</v>
      </c>
      <c r="R13" s="863">
        <v>0</v>
      </c>
      <c r="S13" s="861">
        <v>0</v>
      </c>
      <c r="T13" s="861">
        <v>0</v>
      </c>
      <c r="U13" s="861"/>
      <c r="V13" s="861">
        <f t="shared" si="7"/>
        <v>0</v>
      </c>
      <c r="W13" s="861"/>
      <c r="X13" s="865"/>
      <c r="Y13" s="861"/>
      <c r="Z13" s="866"/>
      <c r="AA13" s="865">
        <f t="shared" si="4"/>
        <v>0</v>
      </c>
      <c r="AB13" s="861"/>
      <c r="AC13" s="861"/>
      <c r="AD13" s="865"/>
      <c r="AE13" s="867">
        <f t="shared" si="8"/>
        <v>0</v>
      </c>
      <c r="AF13" s="868"/>
      <c r="AG13" s="867"/>
      <c r="AH13" s="809"/>
      <c r="AI13" s="736"/>
      <c r="AJ13" s="736"/>
      <c r="AK13" s="736"/>
      <c r="AL13" s="736"/>
      <c r="AM13" s="736"/>
      <c r="AN13" s="736"/>
    </row>
    <row r="14" spans="1:40" ht="19.5" customHeight="1" hidden="1">
      <c r="A14" s="854" t="s">
        <v>3281</v>
      </c>
      <c r="B14" s="855">
        <f t="shared" si="0"/>
        <v>0</v>
      </c>
      <c r="C14" s="855"/>
      <c r="D14" s="855">
        <v>0</v>
      </c>
      <c r="E14" s="856">
        <v>0</v>
      </c>
      <c r="F14" s="857"/>
      <c r="G14" s="858"/>
      <c r="H14" s="859">
        <f t="shared" si="5"/>
        <v>0</v>
      </c>
      <c r="I14" s="860">
        <f t="shared" si="6"/>
        <v>0</v>
      </c>
      <c r="J14" s="855"/>
      <c r="K14" s="855"/>
      <c r="L14" s="855">
        <f t="shared" si="1"/>
        <v>0</v>
      </c>
      <c r="M14" s="855"/>
      <c r="N14" s="859"/>
      <c r="O14" s="861">
        <f t="shared" si="2"/>
        <v>0</v>
      </c>
      <c r="P14" s="862">
        <f t="shared" si="3"/>
        <v>0</v>
      </c>
      <c r="Q14" s="863">
        <v>0</v>
      </c>
      <c r="R14" s="863">
        <v>0</v>
      </c>
      <c r="S14" s="861">
        <v>0</v>
      </c>
      <c r="T14" s="861">
        <v>0</v>
      </c>
      <c r="U14" s="861"/>
      <c r="V14" s="861">
        <f t="shared" si="7"/>
        <v>0</v>
      </c>
      <c r="W14" s="861"/>
      <c r="X14" s="865"/>
      <c r="Y14" s="861"/>
      <c r="Z14" s="866"/>
      <c r="AA14" s="865">
        <f t="shared" si="4"/>
        <v>0</v>
      </c>
      <c r="AB14" s="861"/>
      <c r="AC14" s="861"/>
      <c r="AD14" s="865"/>
      <c r="AE14" s="867">
        <f t="shared" si="8"/>
        <v>0</v>
      </c>
      <c r="AF14" s="868"/>
      <c r="AG14" s="867"/>
      <c r="AH14" s="809"/>
      <c r="AI14" s="736"/>
      <c r="AJ14" s="736"/>
      <c r="AK14" s="736"/>
      <c r="AL14" s="736"/>
      <c r="AM14" s="736"/>
      <c r="AN14" s="736"/>
    </row>
    <row r="15" spans="1:40" ht="19.5" customHeight="1" hidden="1">
      <c r="A15" s="854" t="s">
        <v>3282</v>
      </c>
      <c r="B15" s="855">
        <f t="shared" si="0"/>
        <v>0</v>
      </c>
      <c r="C15" s="855"/>
      <c r="D15" s="855">
        <v>0</v>
      </c>
      <c r="E15" s="856">
        <v>0</v>
      </c>
      <c r="F15" s="857"/>
      <c r="G15" s="858"/>
      <c r="H15" s="859">
        <f t="shared" si="5"/>
        <v>0</v>
      </c>
      <c r="I15" s="860">
        <f t="shared" si="6"/>
        <v>0</v>
      </c>
      <c r="J15" s="855"/>
      <c r="K15" s="855"/>
      <c r="L15" s="855">
        <f t="shared" si="1"/>
        <v>0</v>
      </c>
      <c r="M15" s="855"/>
      <c r="N15" s="859"/>
      <c r="O15" s="861">
        <f t="shared" si="2"/>
        <v>0</v>
      </c>
      <c r="P15" s="862">
        <f t="shared" si="3"/>
        <v>0</v>
      </c>
      <c r="Q15" s="863">
        <v>0</v>
      </c>
      <c r="R15" s="863">
        <v>0</v>
      </c>
      <c r="S15" s="861">
        <v>0</v>
      </c>
      <c r="T15" s="861">
        <v>0</v>
      </c>
      <c r="U15" s="861"/>
      <c r="V15" s="861">
        <f t="shared" si="7"/>
        <v>0</v>
      </c>
      <c r="W15" s="861"/>
      <c r="X15" s="865"/>
      <c r="Y15" s="861"/>
      <c r="Z15" s="866"/>
      <c r="AA15" s="865">
        <f t="shared" si="4"/>
        <v>0</v>
      </c>
      <c r="AB15" s="861"/>
      <c r="AC15" s="861"/>
      <c r="AD15" s="865"/>
      <c r="AE15" s="867">
        <f t="shared" si="8"/>
        <v>0</v>
      </c>
      <c r="AF15" s="868"/>
      <c r="AG15" s="867"/>
      <c r="AH15" s="809"/>
      <c r="AI15" s="736"/>
      <c r="AJ15" s="736"/>
      <c r="AK15" s="736"/>
      <c r="AL15" s="736"/>
      <c r="AM15" s="736"/>
      <c r="AN15" s="736"/>
    </row>
    <row r="16" spans="1:40" ht="19.5" customHeight="1" hidden="1">
      <c r="A16" s="854" t="s">
        <v>3283</v>
      </c>
      <c r="B16" s="855">
        <f t="shared" si="0"/>
        <v>0</v>
      </c>
      <c r="C16" s="855"/>
      <c r="D16" s="855">
        <v>0</v>
      </c>
      <c r="E16" s="856">
        <v>0</v>
      </c>
      <c r="F16" s="857"/>
      <c r="G16" s="858"/>
      <c r="H16" s="859">
        <f t="shared" si="5"/>
        <v>0</v>
      </c>
      <c r="I16" s="860">
        <f t="shared" si="6"/>
        <v>0</v>
      </c>
      <c r="J16" s="855"/>
      <c r="K16" s="855"/>
      <c r="L16" s="855">
        <f t="shared" si="1"/>
        <v>0</v>
      </c>
      <c r="M16" s="855"/>
      <c r="N16" s="859"/>
      <c r="O16" s="861">
        <f t="shared" si="2"/>
        <v>0</v>
      </c>
      <c r="P16" s="862">
        <f t="shared" si="3"/>
        <v>0</v>
      </c>
      <c r="Q16" s="863">
        <v>0</v>
      </c>
      <c r="R16" s="863">
        <v>0</v>
      </c>
      <c r="S16" s="861">
        <v>0</v>
      </c>
      <c r="T16" s="861">
        <v>0</v>
      </c>
      <c r="U16" s="861"/>
      <c r="V16" s="861">
        <f t="shared" si="7"/>
        <v>0</v>
      </c>
      <c r="W16" s="861"/>
      <c r="X16" s="865"/>
      <c r="Y16" s="861"/>
      <c r="Z16" s="866"/>
      <c r="AA16" s="865">
        <f t="shared" si="4"/>
        <v>0</v>
      </c>
      <c r="AB16" s="861"/>
      <c r="AC16" s="861"/>
      <c r="AD16" s="865"/>
      <c r="AE16" s="867">
        <f t="shared" si="8"/>
        <v>0</v>
      </c>
      <c r="AF16" s="868"/>
      <c r="AG16" s="867"/>
      <c r="AH16" s="809"/>
      <c r="AI16" s="736"/>
      <c r="AJ16" s="736"/>
      <c r="AK16" s="736"/>
      <c r="AL16" s="736"/>
      <c r="AM16" s="736"/>
      <c r="AN16" s="736"/>
    </row>
    <row r="17" spans="1:40" ht="19.5" customHeight="1" hidden="1">
      <c r="A17" s="854" t="s">
        <v>3284</v>
      </c>
      <c r="B17" s="855">
        <f t="shared" si="0"/>
        <v>0</v>
      </c>
      <c r="C17" s="855"/>
      <c r="D17" s="855">
        <v>0</v>
      </c>
      <c r="E17" s="856">
        <v>0</v>
      </c>
      <c r="F17" s="857"/>
      <c r="G17" s="858"/>
      <c r="H17" s="859">
        <f t="shared" si="5"/>
        <v>0</v>
      </c>
      <c r="I17" s="860">
        <f t="shared" si="6"/>
        <v>0</v>
      </c>
      <c r="J17" s="855"/>
      <c r="K17" s="855"/>
      <c r="L17" s="855">
        <f t="shared" si="1"/>
        <v>0</v>
      </c>
      <c r="M17" s="855"/>
      <c r="N17" s="859"/>
      <c r="O17" s="861">
        <f t="shared" si="2"/>
        <v>0</v>
      </c>
      <c r="P17" s="862">
        <f t="shared" si="3"/>
        <v>0</v>
      </c>
      <c r="Q17" s="863">
        <v>0</v>
      </c>
      <c r="R17" s="863">
        <v>0</v>
      </c>
      <c r="S17" s="861">
        <v>0</v>
      </c>
      <c r="T17" s="861">
        <v>0</v>
      </c>
      <c r="U17" s="861"/>
      <c r="V17" s="861">
        <f t="shared" si="7"/>
        <v>0</v>
      </c>
      <c r="W17" s="861"/>
      <c r="X17" s="865"/>
      <c r="Y17" s="861"/>
      <c r="Z17" s="866"/>
      <c r="AA17" s="865">
        <f t="shared" si="4"/>
        <v>0</v>
      </c>
      <c r="AB17" s="861"/>
      <c r="AC17" s="861"/>
      <c r="AD17" s="865"/>
      <c r="AE17" s="867">
        <f t="shared" si="8"/>
        <v>0</v>
      </c>
      <c r="AF17" s="868"/>
      <c r="AG17" s="867"/>
      <c r="AH17" s="809"/>
      <c r="AI17" s="736"/>
      <c r="AJ17" s="736"/>
      <c r="AK17" s="736"/>
      <c r="AL17" s="736"/>
      <c r="AM17" s="736"/>
      <c r="AN17" s="736"/>
    </row>
    <row r="18" spans="1:41" ht="19.5" customHeight="1" hidden="1">
      <c r="A18" s="854" t="s">
        <v>3285</v>
      </c>
      <c r="B18" s="855">
        <f>C18+D18</f>
        <v>0</v>
      </c>
      <c r="C18" s="855">
        <v>0</v>
      </c>
      <c r="D18" s="855">
        <v>0</v>
      </c>
      <c r="E18" s="856">
        <v>0</v>
      </c>
      <c r="F18" s="857"/>
      <c r="G18" s="858"/>
      <c r="H18" s="859">
        <f t="shared" si="5"/>
        <v>0</v>
      </c>
      <c r="I18" s="860">
        <f>J18+K18</f>
        <v>0</v>
      </c>
      <c r="J18" s="855"/>
      <c r="K18" s="855"/>
      <c r="L18" s="855">
        <f>M18+N18</f>
        <v>0</v>
      </c>
      <c r="M18" s="855"/>
      <c r="N18" s="859"/>
      <c r="O18" s="861">
        <f t="shared" si="2"/>
        <v>0</v>
      </c>
      <c r="P18" s="862">
        <f>Q18+R18</f>
        <v>0</v>
      </c>
      <c r="Q18" s="863">
        <v>0</v>
      </c>
      <c r="R18" s="866">
        <v>0</v>
      </c>
      <c r="S18" s="861">
        <v>0</v>
      </c>
      <c r="T18" s="861">
        <v>0</v>
      </c>
      <c r="U18" s="861"/>
      <c r="V18" s="861">
        <f t="shared" si="7"/>
        <v>0</v>
      </c>
      <c r="W18" s="861">
        <v>0</v>
      </c>
      <c r="X18" s="870">
        <v>0</v>
      </c>
      <c r="Y18" s="861">
        <v>0</v>
      </c>
      <c r="Z18" s="866"/>
      <c r="AA18" s="870">
        <f t="shared" si="4"/>
        <v>0</v>
      </c>
      <c r="AB18" s="861"/>
      <c r="AC18" s="861"/>
      <c r="AD18" s="865"/>
      <c r="AE18" s="867">
        <f t="shared" si="8"/>
        <v>0</v>
      </c>
      <c r="AF18" s="868">
        <v>0</v>
      </c>
      <c r="AG18" s="867">
        <v>0</v>
      </c>
      <c r="AH18" s="809"/>
      <c r="AI18" s="736"/>
      <c r="AJ18" s="736"/>
      <c r="AK18" s="736"/>
      <c r="AL18" s="736"/>
      <c r="AM18" s="736"/>
      <c r="AN18" s="736"/>
      <c r="AO18" s="736"/>
    </row>
    <row r="19" spans="1:40" ht="19.5" customHeight="1" hidden="1">
      <c r="A19" s="871" t="s">
        <v>3286</v>
      </c>
      <c r="B19" s="872"/>
      <c r="C19" s="872"/>
      <c r="D19" s="872"/>
      <c r="E19" s="873"/>
      <c r="F19" s="874"/>
      <c r="G19" s="875"/>
      <c r="H19" s="876">
        <f t="shared" si="5"/>
        <v>0</v>
      </c>
      <c r="I19" s="877"/>
      <c r="J19" s="872"/>
      <c r="K19" s="872"/>
      <c r="L19" s="872"/>
      <c r="M19" s="872"/>
      <c r="N19" s="876"/>
      <c r="O19" s="861">
        <f t="shared" si="2"/>
        <v>0</v>
      </c>
      <c r="P19" s="876"/>
      <c r="Q19" s="876"/>
      <c r="R19" s="877"/>
      <c r="S19" s="872"/>
      <c r="T19" s="872"/>
      <c r="U19" s="872"/>
      <c r="V19" s="872">
        <f t="shared" si="7"/>
        <v>0</v>
      </c>
      <c r="W19" s="872"/>
      <c r="X19" s="877"/>
      <c r="Y19" s="872"/>
      <c r="Z19" s="877"/>
      <c r="AA19" s="870">
        <f t="shared" si="4"/>
        <v>0</v>
      </c>
      <c r="AB19" s="872"/>
      <c r="AC19" s="876"/>
      <c r="AD19" s="877">
        <f>15676-15676</f>
        <v>0</v>
      </c>
      <c r="AE19" s="873">
        <f t="shared" si="8"/>
        <v>0</v>
      </c>
      <c r="AF19" s="877"/>
      <c r="AG19" s="873">
        <f>183000-2700-40000-21500-13000-17000-18000-18700-24600-27500</f>
        <v>0</v>
      </c>
      <c r="AH19" s="809"/>
      <c r="AI19" s="736"/>
      <c r="AJ19" s="736"/>
      <c r="AK19" s="736"/>
      <c r="AL19" s="736"/>
      <c r="AM19" s="736"/>
      <c r="AN19" s="736"/>
    </row>
    <row r="20" spans="1:41" ht="21" customHeight="1" hidden="1">
      <c r="A20" s="878" t="s">
        <v>3138</v>
      </c>
      <c r="B20" s="879">
        <f>SUM(C20:D20)</f>
        <v>4895226</v>
      </c>
      <c r="C20" s="879">
        <f aca="true" t="shared" si="9" ref="C20:N20">SUM(C9:C19)</f>
        <v>115099</v>
      </c>
      <c r="D20" s="879">
        <f t="shared" si="9"/>
        <v>4780127</v>
      </c>
      <c r="E20" s="880">
        <f t="shared" si="9"/>
        <v>3936574</v>
      </c>
      <c r="F20" s="879">
        <f t="shared" si="9"/>
        <v>28880897.406</v>
      </c>
      <c r="G20" s="879">
        <f t="shared" si="9"/>
        <v>657815.62</v>
      </c>
      <c r="H20" s="881">
        <f t="shared" si="9"/>
        <v>28223081.786</v>
      </c>
      <c r="I20" s="879">
        <f t="shared" si="9"/>
        <v>6399.73</v>
      </c>
      <c r="J20" s="879">
        <f t="shared" si="9"/>
        <v>4738.558</v>
      </c>
      <c r="K20" s="879">
        <f t="shared" si="9"/>
        <v>1661.172</v>
      </c>
      <c r="L20" s="879">
        <f t="shared" si="9"/>
        <v>1306381.417</v>
      </c>
      <c r="M20" s="879">
        <f t="shared" si="9"/>
        <v>1274851.25</v>
      </c>
      <c r="N20" s="879">
        <f t="shared" si="9"/>
        <v>31530.167</v>
      </c>
      <c r="O20" s="882">
        <f t="shared" si="2"/>
        <v>26910467.038999997</v>
      </c>
      <c r="P20" s="879">
        <f>SUM(Q20:R20)</f>
        <v>16418192.305</v>
      </c>
      <c r="Q20" s="879">
        <f aca="true" t="shared" si="10" ref="Q20:AE20">SUM(Q9:Q19)</f>
        <v>16111299.576</v>
      </c>
      <c r="R20" s="879">
        <f t="shared" si="10"/>
        <v>306892.729</v>
      </c>
      <c r="S20" s="879">
        <f t="shared" si="10"/>
        <v>5643646.014</v>
      </c>
      <c r="T20" s="879">
        <f t="shared" si="10"/>
        <v>322227.732</v>
      </c>
      <c r="U20" s="879">
        <f t="shared" si="10"/>
        <v>0</v>
      </c>
      <c r="V20" s="879">
        <f t="shared" si="10"/>
        <v>175453.941</v>
      </c>
      <c r="W20" s="879">
        <f t="shared" si="10"/>
        <v>170020</v>
      </c>
      <c r="X20" s="879">
        <f>SUM(X9:X19)</f>
        <v>165020</v>
      </c>
      <c r="Y20" s="879">
        <f t="shared" si="10"/>
        <v>84200</v>
      </c>
      <c r="Z20" s="879">
        <f t="shared" si="10"/>
        <v>0</v>
      </c>
      <c r="AA20" s="883">
        <f t="shared" si="10"/>
        <v>4350947.047</v>
      </c>
      <c r="AB20" s="879">
        <f t="shared" si="10"/>
        <v>0</v>
      </c>
      <c r="AC20" s="884">
        <f t="shared" si="10"/>
        <v>0</v>
      </c>
      <c r="AD20" s="879">
        <f t="shared" si="10"/>
        <v>892380</v>
      </c>
      <c r="AE20" s="880">
        <f t="shared" si="10"/>
        <v>3458567.047</v>
      </c>
      <c r="AF20" s="883">
        <f>SUM(AF9:AF19)</f>
        <v>1047305</v>
      </c>
      <c r="AG20" s="880">
        <f>SUM(AG9:AG19)</f>
        <v>2060518</v>
      </c>
      <c r="AH20" s="885">
        <f>46159+11488</f>
        <v>57647</v>
      </c>
      <c r="AI20" s="886"/>
      <c r="AJ20" s="886"/>
      <c r="AK20" s="886"/>
      <c r="AL20" s="886"/>
      <c r="AM20" s="886"/>
      <c r="AN20" s="886"/>
      <c r="AO20" s="886"/>
    </row>
    <row r="21" spans="1:40" ht="21" customHeight="1" hidden="1">
      <c r="A21" s="887" t="s">
        <v>2642</v>
      </c>
      <c r="B21" s="861">
        <f>C21+D21</f>
        <v>38485</v>
      </c>
      <c r="C21" s="861">
        <v>38485</v>
      </c>
      <c r="D21" s="861">
        <v>0</v>
      </c>
      <c r="E21" s="867"/>
      <c r="F21" s="866">
        <f>G21+H21</f>
        <v>515108.2</v>
      </c>
      <c r="G21" s="861">
        <v>1814.792</v>
      </c>
      <c r="H21" s="888">
        <f>I21+L21+O21</f>
        <v>513293.408</v>
      </c>
      <c r="I21" s="866">
        <f>J21+K21</f>
        <v>0</v>
      </c>
      <c r="J21" s="861"/>
      <c r="K21" s="861"/>
      <c r="L21" s="861">
        <f>M21+N21</f>
        <v>75309.143</v>
      </c>
      <c r="M21" s="861">
        <f>75346-36.857</f>
        <v>75309.143</v>
      </c>
      <c r="N21" s="863">
        <f>600-600</f>
        <v>0</v>
      </c>
      <c r="O21" s="889">
        <f>P21+S21+T21+U21+V21+AA21</f>
        <v>437984.265</v>
      </c>
      <c r="P21" s="866">
        <f>Q21+R21</f>
        <v>0</v>
      </c>
      <c r="Q21" s="861"/>
      <c r="R21" s="866"/>
      <c r="S21" s="861"/>
      <c r="T21" s="861">
        <v>0</v>
      </c>
      <c r="U21" s="861"/>
      <c r="V21" s="861">
        <v>1522.065</v>
      </c>
      <c r="W21" s="861">
        <v>2335</v>
      </c>
      <c r="X21" s="866">
        <v>2335</v>
      </c>
      <c r="Y21" s="861">
        <v>965</v>
      </c>
      <c r="Z21" s="861">
        <v>0</v>
      </c>
      <c r="AA21" s="866">
        <f>AB21+AC21+AD21+AE21</f>
        <v>436462.2</v>
      </c>
      <c r="AB21" s="861">
        <v>0</v>
      </c>
      <c r="AC21" s="861">
        <v>0</v>
      </c>
      <c r="AD21" s="861">
        <v>0</v>
      </c>
      <c r="AE21" s="867">
        <f>436462.2</f>
        <v>436462.2</v>
      </c>
      <c r="AF21" s="866">
        <v>0</v>
      </c>
      <c r="AG21" s="867">
        <f>406277+32207</f>
        <v>438484</v>
      </c>
      <c r="AH21" s="890"/>
      <c r="AI21" s="736"/>
      <c r="AJ21" s="891"/>
      <c r="AK21" s="736"/>
      <c r="AL21" s="736"/>
      <c r="AM21" s="736"/>
      <c r="AN21" s="736"/>
    </row>
    <row r="22" spans="1:40" ht="21" customHeight="1" thickBot="1">
      <c r="A22" s="878" t="s">
        <v>3138</v>
      </c>
      <c r="B22" s="879">
        <f aca="true" t="shared" si="11" ref="B22:AH22">B20+B21</f>
        <v>4933711</v>
      </c>
      <c r="C22" s="879">
        <f t="shared" si="11"/>
        <v>153584</v>
      </c>
      <c r="D22" s="879">
        <f t="shared" si="11"/>
        <v>4780127</v>
      </c>
      <c r="E22" s="880">
        <f t="shared" si="11"/>
        <v>3936574</v>
      </c>
      <c r="F22" s="881">
        <f>F20+F21</f>
        <v>29396005.606</v>
      </c>
      <c r="G22" s="879">
        <f>G20+G21</f>
        <v>659630.412</v>
      </c>
      <c r="H22" s="892">
        <f t="shared" si="11"/>
        <v>28736375.194</v>
      </c>
      <c r="I22" s="879">
        <f t="shared" si="11"/>
        <v>6399.73</v>
      </c>
      <c r="J22" s="879">
        <f t="shared" si="11"/>
        <v>4738.558</v>
      </c>
      <c r="K22" s="879">
        <f t="shared" si="11"/>
        <v>1661.172</v>
      </c>
      <c r="L22" s="879">
        <f t="shared" si="11"/>
        <v>1381690.5599999998</v>
      </c>
      <c r="M22" s="879">
        <f t="shared" si="11"/>
        <v>1350160.393</v>
      </c>
      <c r="N22" s="879">
        <f t="shared" si="11"/>
        <v>31530.167</v>
      </c>
      <c r="O22" s="882">
        <f t="shared" si="11"/>
        <v>27348451.303999998</v>
      </c>
      <c r="P22" s="879">
        <f t="shared" si="11"/>
        <v>16418192.305</v>
      </c>
      <c r="Q22" s="879">
        <f t="shared" si="11"/>
        <v>16111299.576</v>
      </c>
      <c r="R22" s="879">
        <f t="shared" si="11"/>
        <v>306892.729</v>
      </c>
      <c r="S22" s="879">
        <f t="shared" si="11"/>
        <v>5643646.014</v>
      </c>
      <c r="T22" s="879">
        <f t="shared" si="11"/>
        <v>322227.732</v>
      </c>
      <c r="U22" s="879">
        <f t="shared" si="11"/>
        <v>0</v>
      </c>
      <c r="V22" s="879">
        <f t="shared" si="11"/>
        <v>176976.006</v>
      </c>
      <c r="W22" s="879">
        <f t="shared" si="11"/>
        <v>172355</v>
      </c>
      <c r="X22" s="879">
        <f t="shared" si="11"/>
        <v>167355</v>
      </c>
      <c r="Y22" s="879">
        <f t="shared" si="11"/>
        <v>85165</v>
      </c>
      <c r="Z22" s="879">
        <f t="shared" si="11"/>
        <v>0</v>
      </c>
      <c r="AA22" s="884">
        <f t="shared" si="11"/>
        <v>4787409.247</v>
      </c>
      <c r="AB22" s="879">
        <f t="shared" si="11"/>
        <v>0</v>
      </c>
      <c r="AC22" s="879">
        <f t="shared" si="11"/>
        <v>0</v>
      </c>
      <c r="AD22" s="879">
        <f t="shared" si="11"/>
        <v>892380</v>
      </c>
      <c r="AE22" s="880">
        <f t="shared" si="11"/>
        <v>3895029.247</v>
      </c>
      <c r="AF22" s="884">
        <f t="shared" si="11"/>
        <v>1047305</v>
      </c>
      <c r="AG22" s="880">
        <f t="shared" si="11"/>
        <v>2499002</v>
      </c>
      <c r="AH22" s="893">
        <f t="shared" si="11"/>
        <v>57647</v>
      </c>
      <c r="AI22" s="891"/>
      <c r="AJ22" s="891"/>
      <c r="AK22" s="886"/>
      <c r="AL22" s="886"/>
      <c r="AM22" s="886"/>
      <c r="AN22" s="886"/>
    </row>
    <row r="23" spans="1:40" ht="21" customHeight="1">
      <c r="A23" s="854" t="s">
        <v>2643</v>
      </c>
      <c r="B23" s="845">
        <f>C23+D23</f>
        <v>85443</v>
      </c>
      <c r="C23" s="855">
        <v>56010</v>
      </c>
      <c r="D23" s="855">
        <v>29433</v>
      </c>
      <c r="E23" s="856">
        <v>24239</v>
      </c>
      <c r="F23" s="860">
        <f>G23+H23</f>
        <v>8109841.417</v>
      </c>
      <c r="G23" s="855">
        <f>481660.048-8000-27978.355-26.96</f>
        <v>445654.733</v>
      </c>
      <c r="H23" s="894">
        <f>I23+L23+O23-39-59</f>
        <v>7664186.684</v>
      </c>
      <c r="I23" s="850">
        <f>J23+K23</f>
        <v>1672.727</v>
      </c>
      <c r="J23" s="855">
        <v>0</v>
      </c>
      <c r="K23" s="855">
        <v>1672.727</v>
      </c>
      <c r="L23" s="845">
        <f>M23+N23</f>
        <v>1093962.452</v>
      </c>
      <c r="M23" s="855">
        <f>1197028-260038.017+8000+27978.335+26.96</f>
        <v>972995.2779999999</v>
      </c>
      <c r="N23" s="859">
        <f>169396-48428.826</f>
        <v>120967.174</v>
      </c>
      <c r="O23" s="895">
        <f>P23+S23+T23+U23+V23+AA23</f>
        <v>6568649.505</v>
      </c>
      <c r="P23" s="851">
        <f aca="true" t="shared" si="12" ref="P23:P33">Q23+R23</f>
        <v>744346.965</v>
      </c>
      <c r="Q23" s="863">
        <v>733150.058</v>
      </c>
      <c r="R23" s="863">
        <v>11196.907</v>
      </c>
      <c r="S23" s="861">
        <v>257248.062</v>
      </c>
      <c r="T23" s="861">
        <v>14664</v>
      </c>
      <c r="U23" s="861">
        <v>2394091.377</v>
      </c>
      <c r="V23" s="845">
        <v>1505196.924</v>
      </c>
      <c r="W23" s="861">
        <f>1553460+14689</f>
        <v>1568149</v>
      </c>
      <c r="X23" s="865">
        <f>1800+14689</f>
        <v>16489</v>
      </c>
      <c r="Y23" s="861">
        <f>450+4428</f>
        <v>4878</v>
      </c>
      <c r="Z23" s="861">
        <v>7260</v>
      </c>
      <c r="AA23" s="868">
        <f>AB23+AC23+AD23+AE23</f>
        <v>1653102.1770000001</v>
      </c>
      <c r="AB23" s="861">
        <v>10701</v>
      </c>
      <c r="AC23" s="861">
        <v>0</v>
      </c>
      <c r="AD23" s="861">
        <v>1044635</v>
      </c>
      <c r="AE23" s="867">
        <f>1806285.5-AB23-T23-K23-AD23-136943.323-1.273+39+59</f>
        <v>597766.177</v>
      </c>
      <c r="AF23" s="868">
        <v>98841</v>
      </c>
      <c r="AG23" s="867">
        <f>225910-650+9840-15000+424+122636-100000</f>
        <v>243160</v>
      </c>
      <c r="AH23" s="896">
        <f>214+2240</f>
        <v>2454</v>
      </c>
      <c r="AI23" s="736"/>
      <c r="AJ23" s="891"/>
      <c r="AK23" s="736"/>
      <c r="AL23" s="736"/>
      <c r="AM23" s="736"/>
      <c r="AN23" s="736"/>
    </row>
    <row r="24" spans="1:40" ht="21" customHeight="1">
      <c r="A24" s="854" t="s">
        <v>2644</v>
      </c>
      <c r="B24" s="855">
        <f>C24+D24</f>
        <v>572</v>
      </c>
      <c r="C24" s="855">
        <v>572</v>
      </c>
      <c r="D24" s="855">
        <v>0</v>
      </c>
      <c r="E24" s="856">
        <v>0</v>
      </c>
      <c r="F24" s="860">
        <f>G24+H24</f>
        <v>199477.16600000003</v>
      </c>
      <c r="G24" s="855">
        <v>299.64</v>
      </c>
      <c r="H24" s="897">
        <f aca="true" t="shared" si="13" ref="H24:H33">I24+L24+O24</f>
        <v>199177.526</v>
      </c>
      <c r="I24" s="860">
        <f>J24+K24</f>
        <v>0</v>
      </c>
      <c r="J24" s="855"/>
      <c r="K24" s="855"/>
      <c r="L24" s="855">
        <f>M24+N24</f>
        <v>16138.2</v>
      </c>
      <c r="M24" s="855">
        <v>16102.6</v>
      </c>
      <c r="N24" s="859">
        <v>35.6</v>
      </c>
      <c r="O24" s="889">
        <f aca="true" t="shared" si="14" ref="O24:O34">P24+S24+T24+U24+V24+AA24</f>
        <v>183039.326</v>
      </c>
      <c r="P24" s="862">
        <f t="shared" si="12"/>
        <v>75024.36899999999</v>
      </c>
      <c r="Q24" s="863">
        <v>73626.396</v>
      </c>
      <c r="R24" s="863">
        <v>1397.973</v>
      </c>
      <c r="S24" s="861">
        <v>26158.507</v>
      </c>
      <c r="T24" s="861">
        <v>1472.528</v>
      </c>
      <c r="U24" s="861"/>
      <c r="V24" s="861">
        <f aca="true" t="shared" si="15" ref="V24:V33">W24+Y24</f>
        <v>0</v>
      </c>
      <c r="W24" s="861">
        <v>0</v>
      </c>
      <c r="X24" s="865">
        <v>0</v>
      </c>
      <c r="Y24" s="861">
        <v>0</v>
      </c>
      <c r="Z24" s="861">
        <v>0</v>
      </c>
      <c r="AA24" s="868">
        <f>AB24+AC24+AD24+AE24</f>
        <v>80383.92199999999</v>
      </c>
      <c r="AB24" s="861">
        <v>21088</v>
      </c>
      <c r="AC24" s="861">
        <v>0</v>
      </c>
      <c r="AD24" s="861">
        <v>0</v>
      </c>
      <c r="AE24" s="867">
        <f>81860.7-AB24-T24-4.25</f>
        <v>59295.922</v>
      </c>
      <c r="AF24" s="868">
        <v>13261</v>
      </c>
      <c r="AG24" s="867">
        <v>6291</v>
      </c>
      <c r="AH24" s="898">
        <v>107</v>
      </c>
      <c r="AI24" s="736"/>
      <c r="AJ24" s="891"/>
      <c r="AK24" s="736"/>
      <c r="AL24" s="736"/>
      <c r="AM24" s="736"/>
      <c r="AN24" s="736"/>
    </row>
    <row r="25" spans="1:40" ht="21" customHeight="1" thickBot="1">
      <c r="A25" s="899" t="s">
        <v>2732</v>
      </c>
      <c r="B25" s="855">
        <f>C25+D25</f>
        <v>40712</v>
      </c>
      <c r="C25" s="872">
        <v>8743</v>
      </c>
      <c r="D25" s="872">
        <v>31969</v>
      </c>
      <c r="E25" s="873">
        <v>26328</v>
      </c>
      <c r="F25" s="877">
        <f>G25+H25</f>
        <v>780715.9630000001</v>
      </c>
      <c r="G25" s="872">
        <v>58279.441</v>
      </c>
      <c r="H25" s="897">
        <f>I25+L25+O25-5</f>
        <v>722436.5220000001</v>
      </c>
      <c r="I25" s="860">
        <f>J25+K25</f>
        <v>9589.829</v>
      </c>
      <c r="J25" s="872">
        <v>4499.965</v>
      </c>
      <c r="K25" s="872">
        <v>5089.864</v>
      </c>
      <c r="L25" s="855">
        <f>M25+N25</f>
        <v>162543.42</v>
      </c>
      <c r="M25" s="872">
        <f>217231.6-55705.575</f>
        <v>161526.02500000002</v>
      </c>
      <c r="N25" s="876">
        <f>1019-1.605</f>
        <v>1017.395</v>
      </c>
      <c r="O25" s="889">
        <f t="shared" si="14"/>
        <v>550308.273</v>
      </c>
      <c r="P25" s="862">
        <f t="shared" si="12"/>
        <v>202791.901</v>
      </c>
      <c r="Q25" s="863">
        <v>195264</v>
      </c>
      <c r="R25" s="863">
        <v>7527.901</v>
      </c>
      <c r="S25" s="861">
        <v>69177.763</v>
      </c>
      <c r="T25" s="861">
        <v>3905.6</v>
      </c>
      <c r="U25" s="861"/>
      <c r="V25" s="861">
        <v>728.41</v>
      </c>
      <c r="W25" s="861">
        <v>800</v>
      </c>
      <c r="X25" s="865">
        <v>800</v>
      </c>
      <c r="Y25" s="861">
        <v>700</v>
      </c>
      <c r="Z25" s="861">
        <v>0</v>
      </c>
      <c r="AA25" s="866">
        <f>AB25+AC25+AD25+AE25</f>
        <v>273704.59900000005</v>
      </c>
      <c r="AB25" s="861">
        <v>10893</v>
      </c>
      <c r="AC25" s="861">
        <v>0</v>
      </c>
      <c r="AD25" s="861">
        <v>0</v>
      </c>
      <c r="AE25" s="867">
        <f>282856-AB25-T25-K25-160.937+5</f>
        <v>262811.59900000005</v>
      </c>
      <c r="AF25" s="868">
        <v>27595</v>
      </c>
      <c r="AG25" s="867">
        <v>344661</v>
      </c>
      <c r="AH25" s="896">
        <f>256+513</f>
        <v>769</v>
      </c>
      <c r="AI25" s="736"/>
      <c r="AJ25" s="891"/>
      <c r="AK25" s="736"/>
      <c r="AL25" s="736"/>
      <c r="AM25" s="736"/>
      <c r="AN25" s="736"/>
    </row>
    <row r="26" spans="1:41" ht="21" customHeight="1" thickBot="1">
      <c r="A26" s="900" t="s">
        <v>3287</v>
      </c>
      <c r="B26" s="881">
        <f aca="true" t="shared" si="16" ref="B26:K26">B22+B23+B24+B25</f>
        <v>5060438</v>
      </c>
      <c r="C26" s="881">
        <f t="shared" si="16"/>
        <v>218909</v>
      </c>
      <c r="D26" s="881">
        <f t="shared" si="16"/>
        <v>4841529</v>
      </c>
      <c r="E26" s="901">
        <f t="shared" si="16"/>
        <v>3987141</v>
      </c>
      <c r="F26" s="881">
        <f>F22+F23+F24+F25</f>
        <v>38486040.152</v>
      </c>
      <c r="G26" s="881">
        <f>G22+G23+G24+G25</f>
        <v>1163864.226</v>
      </c>
      <c r="H26" s="892">
        <f t="shared" si="16"/>
        <v>37322175.926</v>
      </c>
      <c r="I26" s="881">
        <f t="shared" si="16"/>
        <v>17662.286</v>
      </c>
      <c r="J26" s="881">
        <f t="shared" si="16"/>
        <v>9238.523000000001</v>
      </c>
      <c r="K26" s="881">
        <f t="shared" si="16"/>
        <v>8423.762999999999</v>
      </c>
      <c r="L26" s="881">
        <f>L22+L23+L24+L25</f>
        <v>2654334.632</v>
      </c>
      <c r="M26" s="879">
        <f aca="true" t="shared" si="17" ref="M26:AC26">M22+M23+M24+M25</f>
        <v>2500784.296</v>
      </c>
      <c r="N26" s="879">
        <f t="shared" si="17"/>
        <v>153550.336</v>
      </c>
      <c r="O26" s="882">
        <f t="shared" si="17"/>
        <v>34650448.408</v>
      </c>
      <c r="P26" s="881">
        <f t="shared" si="17"/>
        <v>17440355.54</v>
      </c>
      <c r="Q26" s="881">
        <f t="shared" si="17"/>
        <v>17113340.03</v>
      </c>
      <c r="R26" s="881">
        <f t="shared" si="17"/>
        <v>327015.51</v>
      </c>
      <c r="S26" s="881">
        <f t="shared" si="17"/>
        <v>5996230.346000001</v>
      </c>
      <c r="T26" s="881">
        <f t="shared" si="17"/>
        <v>342269.86</v>
      </c>
      <c r="U26" s="881">
        <f t="shared" si="17"/>
        <v>2394091.377</v>
      </c>
      <c r="V26" s="881">
        <f t="shared" si="17"/>
        <v>1682901.34</v>
      </c>
      <c r="W26" s="881">
        <f t="shared" si="17"/>
        <v>1741304</v>
      </c>
      <c r="X26" s="881">
        <f t="shared" si="17"/>
        <v>184644</v>
      </c>
      <c r="Y26" s="881">
        <f t="shared" si="17"/>
        <v>90743</v>
      </c>
      <c r="Z26" s="881">
        <f t="shared" si="17"/>
        <v>7260</v>
      </c>
      <c r="AA26" s="902">
        <f t="shared" si="17"/>
        <v>6794599.945000001</v>
      </c>
      <c r="AB26" s="881">
        <f t="shared" si="17"/>
        <v>42682</v>
      </c>
      <c r="AC26" s="881">
        <f t="shared" si="17"/>
        <v>0</v>
      </c>
      <c r="AD26" s="881">
        <f>AD22+AD23+AD24+AD25</f>
        <v>1937015</v>
      </c>
      <c r="AE26" s="901">
        <f>AE22+AE23+AE24+AE25</f>
        <v>4814902.945</v>
      </c>
      <c r="AF26" s="902">
        <f>AF22+AF23+AF24+AF25</f>
        <v>1187002</v>
      </c>
      <c r="AG26" s="901">
        <f>AG22+AG23+AG24+AG25</f>
        <v>3093114</v>
      </c>
      <c r="AH26" s="893">
        <f>AH22+AH23+AH24+AH25</f>
        <v>60977</v>
      </c>
      <c r="AI26" s="886"/>
      <c r="AJ26" s="886"/>
      <c r="AK26" s="886"/>
      <c r="AL26" s="886"/>
      <c r="AM26" s="886"/>
      <c r="AN26" s="886"/>
      <c r="AO26" s="886"/>
    </row>
    <row r="27" spans="1:41" ht="21" customHeight="1">
      <c r="A27" s="903" t="s">
        <v>2723</v>
      </c>
      <c r="B27" s="904">
        <f aca="true" t="shared" si="18" ref="B27:B33">C27+D27</f>
        <v>600</v>
      </c>
      <c r="C27" s="872">
        <v>600</v>
      </c>
      <c r="D27" s="872"/>
      <c r="E27" s="905"/>
      <c r="F27" s="845">
        <f aca="true" t="shared" si="19" ref="F27:F34">G27+H27</f>
        <v>110162.417</v>
      </c>
      <c r="G27" s="845">
        <v>130.189</v>
      </c>
      <c r="H27" s="894">
        <f>I27+L27+O27-37</f>
        <v>110032.228</v>
      </c>
      <c r="I27" s="850">
        <f aca="true" t="shared" si="20" ref="I27:I33">J27+K27</f>
        <v>96.998</v>
      </c>
      <c r="J27" s="872"/>
      <c r="K27" s="872">
        <v>96.998</v>
      </c>
      <c r="L27" s="845">
        <v>16154.56</v>
      </c>
      <c r="M27" s="872">
        <f>16212-104.425</f>
        <v>16107.575</v>
      </c>
      <c r="N27" s="876">
        <v>47</v>
      </c>
      <c r="O27" s="895">
        <f t="shared" si="14"/>
        <v>93817.67</v>
      </c>
      <c r="P27" s="851">
        <f t="shared" si="12"/>
        <v>34366</v>
      </c>
      <c r="Q27" s="876">
        <v>33847</v>
      </c>
      <c r="R27" s="876">
        <v>519</v>
      </c>
      <c r="S27" s="872">
        <v>11804</v>
      </c>
      <c r="T27" s="872">
        <v>677</v>
      </c>
      <c r="U27" s="872"/>
      <c r="V27" s="845">
        <f t="shared" si="15"/>
        <v>0</v>
      </c>
      <c r="W27" s="872"/>
      <c r="X27" s="877"/>
      <c r="Y27" s="872"/>
      <c r="Z27" s="872"/>
      <c r="AA27" s="868">
        <f>AB27+AC27+AD27+AE27</f>
        <v>46970.67</v>
      </c>
      <c r="AB27" s="872"/>
      <c r="AC27" s="872"/>
      <c r="AD27" s="872">
        <v>0</v>
      </c>
      <c r="AE27" s="867">
        <v>46970.67</v>
      </c>
      <c r="AF27" s="877">
        <v>22513</v>
      </c>
      <c r="AG27" s="873">
        <f>20409+230+650</f>
        <v>21289</v>
      </c>
      <c r="AH27" s="896">
        <v>143</v>
      </c>
      <c r="AI27" s="891"/>
      <c r="AJ27" s="891"/>
      <c r="AK27" s="891"/>
      <c r="AL27" s="886"/>
      <c r="AM27" s="886"/>
      <c r="AN27" s="886"/>
      <c r="AO27" s="886"/>
    </row>
    <row r="28" spans="1:41" ht="21" customHeight="1">
      <c r="A28" s="906" t="s">
        <v>2724</v>
      </c>
      <c r="B28" s="861">
        <f t="shared" si="18"/>
        <v>500</v>
      </c>
      <c r="C28" s="861">
        <v>500</v>
      </c>
      <c r="D28" s="861"/>
      <c r="E28" s="867"/>
      <c r="F28" s="860">
        <f t="shared" si="19"/>
        <v>80330.084</v>
      </c>
      <c r="G28" s="855">
        <v>226.302</v>
      </c>
      <c r="H28" s="897">
        <f t="shared" si="13"/>
        <v>80103.782</v>
      </c>
      <c r="I28" s="860">
        <f>J28+K28</f>
        <v>0</v>
      </c>
      <c r="J28" s="861"/>
      <c r="K28" s="861"/>
      <c r="L28" s="855">
        <v>5094.57</v>
      </c>
      <c r="M28" s="861">
        <f>4440.5-46.302</f>
        <v>4394.198</v>
      </c>
      <c r="N28" s="863">
        <f>880.4-180</f>
        <v>700.4</v>
      </c>
      <c r="O28" s="889">
        <f t="shared" si="14"/>
        <v>75009.212</v>
      </c>
      <c r="P28" s="862">
        <f t="shared" si="12"/>
        <v>34654.042</v>
      </c>
      <c r="Q28" s="863">
        <v>34355.055</v>
      </c>
      <c r="R28" s="863">
        <v>298.987</v>
      </c>
      <c r="S28" s="861">
        <v>12042.96</v>
      </c>
      <c r="T28" s="861">
        <v>687.08</v>
      </c>
      <c r="U28" s="861"/>
      <c r="V28" s="861">
        <f t="shared" si="15"/>
        <v>0</v>
      </c>
      <c r="W28" s="861"/>
      <c r="X28" s="866"/>
      <c r="Y28" s="861"/>
      <c r="Z28" s="861"/>
      <c r="AA28" s="868">
        <f aca="true" t="shared" si="21" ref="AA28:AA33">AB28+AC28+AD28+AE28</f>
        <v>27625.13</v>
      </c>
      <c r="AB28" s="861"/>
      <c r="AC28" s="861"/>
      <c r="AD28" s="861">
        <v>0</v>
      </c>
      <c r="AE28" s="867">
        <v>27625.13</v>
      </c>
      <c r="AF28" s="866">
        <v>11665</v>
      </c>
      <c r="AG28" s="867">
        <f>14958+3017</f>
        <v>17975</v>
      </c>
      <c r="AH28" s="898">
        <v>157</v>
      </c>
      <c r="AI28" s="891"/>
      <c r="AJ28" s="891"/>
      <c r="AK28" s="891"/>
      <c r="AL28" s="886"/>
      <c r="AM28" s="886"/>
      <c r="AN28" s="886"/>
      <c r="AO28" s="886"/>
    </row>
    <row r="29" spans="1:41" ht="21" customHeight="1">
      <c r="A29" s="906" t="s">
        <v>2725</v>
      </c>
      <c r="B29" s="861">
        <f t="shared" si="18"/>
        <v>50</v>
      </c>
      <c r="C29" s="861">
        <v>50</v>
      </c>
      <c r="D29" s="861"/>
      <c r="E29" s="867"/>
      <c r="F29" s="860">
        <f t="shared" si="19"/>
        <v>53968.630000000005</v>
      </c>
      <c r="G29" s="855">
        <v>145.004</v>
      </c>
      <c r="H29" s="897">
        <f t="shared" si="13"/>
        <v>53823.626000000004</v>
      </c>
      <c r="I29" s="860">
        <f t="shared" si="20"/>
        <v>0</v>
      </c>
      <c r="J29" s="861"/>
      <c r="K29" s="861"/>
      <c r="L29" s="855">
        <f>M29+N29</f>
        <v>2679.996</v>
      </c>
      <c r="M29" s="861">
        <f>1970-22.046</f>
        <v>1947.954</v>
      </c>
      <c r="N29" s="863">
        <f>855-122.958</f>
        <v>732.042</v>
      </c>
      <c r="O29" s="889">
        <f t="shared" si="14"/>
        <v>51143.630000000005</v>
      </c>
      <c r="P29" s="862">
        <f t="shared" si="12"/>
        <v>26527</v>
      </c>
      <c r="Q29" s="863">
        <v>26338</v>
      </c>
      <c r="R29" s="863">
        <v>189</v>
      </c>
      <c r="S29" s="861">
        <v>9201</v>
      </c>
      <c r="T29" s="861">
        <v>526.54</v>
      </c>
      <c r="U29" s="861"/>
      <c r="V29" s="861">
        <f t="shared" si="15"/>
        <v>0</v>
      </c>
      <c r="W29" s="861"/>
      <c r="X29" s="866"/>
      <c r="Y29" s="861"/>
      <c r="Z29" s="861"/>
      <c r="AA29" s="868">
        <f t="shared" si="21"/>
        <v>14889.09</v>
      </c>
      <c r="AB29" s="861"/>
      <c r="AC29" s="861"/>
      <c r="AD29" s="861">
        <v>0</v>
      </c>
      <c r="AE29" s="867">
        <v>14889.09</v>
      </c>
      <c r="AF29" s="866">
        <v>7323</v>
      </c>
      <c r="AG29" s="867">
        <f>6173+1381</f>
        <v>7554</v>
      </c>
      <c r="AH29" s="896">
        <v>117</v>
      </c>
      <c r="AI29" s="891"/>
      <c r="AJ29" s="891"/>
      <c r="AK29" s="891"/>
      <c r="AL29" s="886"/>
      <c r="AM29" s="886"/>
      <c r="AN29" s="886"/>
      <c r="AO29" s="886"/>
    </row>
    <row r="30" spans="1:41" ht="21" customHeight="1">
      <c r="A30" s="906" t="s">
        <v>2726</v>
      </c>
      <c r="B30" s="861">
        <f t="shared" si="18"/>
        <v>100</v>
      </c>
      <c r="C30" s="861">
        <v>100</v>
      </c>
      <c r="D30" s="861"/>
      <c r="E30" s="867"/>
      <c r="F30" s="860">
        <f t="shared" si="19"/>
        <v>62929.06</v>
      </c>
      <c r="G30" s="855">
        <v>209.827</v>
      </c>
      <c r="H30" s="897">
        <f t="shared" si="13"/>
        <v>62719.233</v>
      </c>
      <c r="I30" s="860">
        <f t="shared" si="20"/>
        <v>0</v>
      </c>
      <c r="J30" s="861"/>
      <c r="K30" s="861"/>
      <c r="L30" s="855">
        <v>3502.67</v>
      </c>
      <c r="M30" s="861">
        <f>3420-66.427</f>
        <v>3353.573</v>
      </c>
      <c r="N30" s="863">
        <f>150-0.9</f>
        <v>149.1</v>
      </c>
      <c r="O30" s="889">
        <f t="shared" si="14"/>
        <v>59216.563</v>
      </c>
      <c r="P30" s="862">
        <f t="shared" si="12"/>
        <v>28946.043</v>
      </c>
      <c r="Q30" s="863">
        <v>28317.751</v>
      </c>
      <c r="R30" s="863">
        <v>628.292</v>
      </c>
      <c r="S30" s="861">
        <v>9946.94</v>
      </c>
      <c r="T30" s="861">
        <v>566</v>
      </c>
      <c r="U30" s="861"/>
      <c r="V30" s="861">
        <f t="shared" si="15"/>
        <v>0</v>
      </c>
      <c r="W30" s="861"/>
      <c r="X30" s="866"/>
      <c r="Y30" s="861"/>
      <c r="Z30" s="861"/>
      <c r="AA30" s="868">
        <f t="shared" si="21"/>
        <v>19757.58</v>
      </c>
      <c r="AB30" s="861"/>
      <c r="AC30" s="861"/>
      <c r="AD30" s="861">
        <v>0</v>
      </c>
      <c r="AE30" s="867">
        <v>19757.58</v>
      </c>
      <c r="AF30" s="866">
        <v>6547</v>
      </c>
      <c r="AG30" s="867">
        <f>9392+2202</f>
        <v>11594</v>
      </c>
      <c r="AH30" s="898">
        <v>127</v>
      </c>
      <c r="AI30" s="891"/>
      <c r="AJ30" s="891"/>
      <c r="AK30" s="891"/>
      <c r="AL30" s="886"/>
      <c r="AM30" s="886"/>
      <c r="AN30" s="886"/>
      <c r="AO30" s="886"/>
    </row>
    <row r="31" spans="1:41" ht="21" customHeight="1">
      <c r="A31" s="906" t="s">
        <v>2727</v>
      </c>
      <c r="B31" s="861">
        <f t="shared" si="18"/>
        <v>200</v>
      </c>
      <c r="C31" s="861">
        <v>200</v>
      </c>
      <c r="D31" s="861"/>
      <c r="E31" s="867"/>
      <c r="F31" s="860">
        <f t="shared" si="19"/>
        <v>79408.53</v>
      </c>
      <c r="G31" s="855">
        <v>7254.368</v>
      </c>
      <c r="H31" s="897">
        <f>I31+L31+O31-70-26</f>
        <v>72154.162</v>
      </c>
      <c r="I31" s="860">
        <f t="shared" si="20"/>
        <v>131.999</v>
      </c>
      <c r="J31" s="861"/>
      <c r="K31" s="861">
        <v>131.999</v>
      </c>
      <c r="L31" s="855">
        <v>16784.79</v>
      </c>
      <c r="M31" s="861">
        <f>23414.8-7254.368</f>
        <v>16160.431999999999</v>
      </c>
      <c r="N31" s="863">
        <v>624.4</v>
      </c>
      <c r="O31" s="889">
        <f t="shared" si="14"/>
        <v>55333.37299999999</v>
      </c>
      <c r="P31" s="862">
        <f t="shared" si="12"/>
        <v>27097.953</v>
      </c>
      <c r="Q31" s="863">
        <v>26492.953</v>
      </c>
      <c r="R31" s="863">
        <v>605</v>
      </c>
      <c r="S31" s="861">
        <v>9403.91</v>
      </c>
      <c r="T31" s="861">
        <v>530</v>
      </c>
      <c r="U31" s="861"/>
      <c r="V31" s="861">
        <f t="shared" si="15"/>
        <v>0</v>
      </c>
      <c r="W31" s="861"/>
      <c r="X31" s="866"/>
      <c r="Y31" s="861"/>
      <c r="Z31" s="861"/>
      <c r="AA31" s="868">
        <f t="shared" si="21"/>
        <v>18301.51</v>
      </c>
      <c r="AB31" s="861"/>
      <c r="AC31" s="861"/>
      <c r="AD31" s="861">
        <v>0</v>
      </c>
      <c r="AE31" s="867">
        <v>18301.51</v>
      </c>
      <c r="AF31" s="866">
        <v>6911</v>
      </c>
      <c r="AG31" s="867">
        <f>9916+1176</f>
        <v>11092</v>
      </c>
      <c r="AH31" s="896">
        <v>113</v>
      </c>
      <c r="AI31" s="891"/>
      <c r="AJ31" s="891"/>
      <c r="AK31" s="891"/>
      <c r="AL31" s="886"/>
      <c r="AM31" s="886"/>
      <c r="AN31" s="886"/>
      <c r="AO31" s="886"/>
    </row>
    <row r="32" spans="1:41" ht="21" customHeight="1">
      <c r="A32" s="906" t="s">
        <v>2728</v>
      </c>
      <c r="B32" s="861">
        <f t="shared" si="18"/>
        <v>200</v>
      </c>
      <c r="C32" s="861">
        <v>200</v>
      </c>
      <c r="D32" s="861"/>
      <c r="E32" s="867"/>
      <c r="F32" s="860">
        <f t="shared" si="19"/>
        <v>71493.081</v>
      </c>
      <c r="G32" s="855">
        <v>943</v>
      </c>
      <c r="H32" s="897">
        <f t="shared" si="13"/>
        <v>70550.081</v>
      </c>
      <c r="I32" s="860">
        <f t="shared" si="20"/>
        <v>0</v>
      </c>
      <c r="J32" s="861"/>
      <c r="K32" s="861"/>
      <c r="L32" s="855">
        <v>3580.32</v>
      </c>
      <c r="M32" s="861">
        <f>3253.8-87</f>
        <v>3166.8</v>
      </c>
      <c r="N32" s="863">
        <v>413.6</v>
      </c>
      <c r="O32" s="889">
        <f t="shared" si="14"/>
        <v>66969.761</v>
      </c>
      <c r="P32" s="862">
        <f t="shared" si="12"/>
        <v>30795.341</v>
      </c>
      <c r="Q32" s="863">
        <v>30314</v>
      </c>
      <c r="R32" s="863">
        <v>481.341</v>
      </c>
      <c r="S32" s="861">
        <v>10706</v>
      </c>
      <c r="T32" s="861">
        <v>606</v>
      </c>
      <c r="U32" s="861"/>
      <c r="V32" s="861">
        <f t="shared" si="15"/>
        <v>0</v>
      </c>
      <c r="W32" s="861"/>
      <c r="X32" s="866"/>
      <c r="Y32" s="861"/>
      <c r="Z32" s="861"/>
      <c r="AA32" s="868">
        <f t="shared" si="21"/>
        <v>24862.42</v>
      </c>
      <c r="AB32" s="861"/>
      <c r="AC32" s="861"/>
      <c r="AD32" s="861">
        <v>0</v>
      </c>
      <c r="AE32" s="867">
        <v>24862.42</v>
      </c>
      <c r="AF32" s="866">
        <v>10682</v>
      </c>
      <c r="AG32" s="867">
        <f>11885+2763</f>
        <v>14648</v>
      </c>
      <c r="AH32" s="898">
        <v>138</v>
      </c>
      <c r="AI32" s="891"/>
      <c r="AJ32" s="891"/>
      <c r="AK32" s="891"/>
      <c r="AL32" s="886"/>
      <c r="AM32" s="886"/>
      <c r="AN32" s="886"/>
      <c r="AO32" s="886"/>
    </row>
    <row r="33" spans="1:41" ht="21" customHeight="1">
      <c r="A33" s="906" t="s">
        <v>2729</v>
      </c>
      <c r="B33" s="861">
        <f t="shared" si="18"/>
        <v>150</v>
      </c>
      <c r="C33" s="861">
        <v>150</v>
      </c>
      <c r="D33" s="861"/>
      <c r="E33" s="867"/>
      <c r="F33" s="860">
        <f t="shared" si="19"/>
        <v>177182.221</v>
      </c>
      <c r="G33" s="855">
        <v>1369.734</v>
      </c>
      <c r="H33" s="897">
        <f t="shared" si="13"/>
        <v>175812.487</v>
      </c>
      <c r="I33" s="860">
        <f t="shared" si="20"/>
        <v>0</v>
      </c>
      <c r="J33" s="861"/>
      <c r="K33" s="861"/>
      <c r="L33" s="855">
        <v>64976.59</v>
      </c>
      <c r="M33" s="861">
        <f>65699.6-920</f>
        <v>64779.600000000006</v>
      </c>
      <c r="N33" s="863">
        <v>197</v>
      </c>
      <c r="O33" s="889">
        <f t="shared" si="14"/>
        <v>110835.897</v>
      </c>
      <c r="P33" s="862">
        <f t="shared" si="12"/>
        <v>48981.467000000004</v>
      </c>
      <c r="Q33" s="863">
        <v>48607.262</v>
      </c>
      <c r="R33" s="863">
        <v>374.205</v>
      </c>
      <c r="S33" s="861">
        <v>17057</v>
      </c>
      <c r="T33" s="861">
        <v>972</v>
      </c>
      <c r="U33" s="861"/>
      <c r="V33" s="861">
        <f t="shared" si="15"/>
        <v>0</v>
      </c>
      <c r="W33" s="861"/>
      <c r="X33" s="866"/>
      <c r="Y33" s="861"/>
      <c r="Z33" s="861"/>
      <c r="AA33" s="868">
        <f t="shared" si="21"/>
        <v>43825.43</v>
      </c>
      <c r="AB33" s="861"/>
      <c r="AC33" s="861"/>
      <c r="AD33" s="861">
        <v>0</v>
      </c>
      <c r="AE33" s="867">
        <v>43825.43</v>
      </c>
      <c r="AF33" s="866">
        <v>20060</v>
      </c>
      <c r="AG33" s="867">
        <f>19392+5282</f>
        <v>24674</v>
      </c>
      <c r="AH33" s="898">
        <v>220</v>
      </c>
      <c r="AI33" s="891"/>
      <c r="AJ33" s="891"/>
      <c r="AK33" s="891"/>
      <c r="AL33" s="886"/>
      <c r="AM33" s="886"/>
      <c r="AN33" s="886"/>
      <c r="AO33" s="886"/>
    </row>
    <row r="34" spans="1:41" ht="21" customHeight="1" thickBot="1">
      <c r="A34" s="906" t="s">
        <v>2730</v>
      </c>
      <c r="B34" s="861">
        <f>C34+D34</f>
        <v>50</v>
      </c>
      <c r="C34" s="861">
        <v>50</v>
      </c>
      <c r="D34" s="861"/>
      <c r="E34" s="867"/>
      <c r="F34" s="866">
        <f t="shared" si="19"/>
        <v>107099.36</v>
      </c>
      <c r="G34" s="861">
        <v>119.54</v>
      </c>
      <c r="H34" s="888">
        <f>I34+L34+O34</f>
        <v>106979.82</v>
      </c>
      <c r="I34" s="866">
        <f>J34+K34</f>
        <v>0</v>
      </c>
      <c r="J34" s="861"/>
      <c r="K34" s="861"/>
      <c r="L34" s="861">
        <v>14422.63</v>
      </c>
      <c r="M34" s="861">
        <f>14157-58.284</f>
        <v>14098.716</v>
      </c>
      <c r="N34" s="863">
        <f>360-36.081</f>
        <v>323.919</v>
      </c>
      <c r="O34" s="889">
        <f t="shared" si="14"/>
        <v>92557.19</v>
      </c>
      <c r="P34" s="863">
        <f>Q34+R34</f>
        <v>38943</v>
      </c>
      <c r="Q34" s="863">
        <v>38597</v>
      </c>
      <c r="R34" s="863">
        <v>346</v>
      </c>
      <c r="S34" s="861">
        <v>13618</v>
      </c>
      <c r="T34" s="861">
        <v>772</v>
      </c>
      <c r="U34" s="861"/>
      <c r="V34" s="861">
        <f>W34+Y34</f>
        <v>0</v>
      </c>
      <c r="W34" s="861"/>
      <c r="X34" s="866"/>
      <c r="Y34" s="861"/>
      <c r="Z34" s="861"/>
      <c r="AA34" s="866">
        <f>AB34+AC34+AD34+AE34</f>
        <v>39224.19</v>
      </c>
      <c r="AB34" s="861"/>
      <c r="AC34" s="861"/>
      <c r="AD34" s="861">
        <v>0</v>
      </c>
      <c r="AE34" s="867">
        <v>39224.19</v>
      </c>
      <c r="AF34" s="866">
        <v>19320</v>
      </c>
      <c r="AG34" s="867">
        <f>15197+4681</f>
        <v>19878</v>
      </c>
      <c r="AH34" s="896">
        <v>174</v>
      </c>
      <c r="AI34" s="891"/>
      <c r="AJ34" s="891"/>
      <c r="AK34" s="891"/>
      <c r="AL34" s="886"/>
      <c r="AM34" s="886"/>
      <c r="AN34" s="886"/>
      <c r="AO34" s="886"/>
    </row>
    <row r="35" spans="1:41" ht="21" customHeight="1" thickBot="1">
      <c r="A35" s="900" t="s">
        <v>3288</v>
      </c>
      <c r="B35" s="882">
        <f>SUM(C35:D35)</f>
        <v>1850</v>
      </c>
      <c r="C35" s="882">
        <f aca="true" t="shared" si="22" ref="C35:AD35">SUM(C27:C34)</f>
        <v>1850</v>
      </c>
      <c r="D35" s="882">
        <f t="shared" si="22"/>
        <v>0</v>
      </c>
      <c r="E35" s="907">
        <f t="shared" si="22"/>
        <v>0</v>
      </c>
      <c r="F35" s="908">
        <f>SUM(F27:F34)</f>
        <v>742573.383</v>
      </c>
      <c r="G35" s="882">
        <f>SUM(G27:G34)</f>
        <v>10397.964000000002</v>
      </c>
      <c r="H35" s="892">
        <f t="shared" si="22"/>
        <v>732175.419</v>
      </c>
      <c r="I35" s="882">
        <f t="shared" si="22"/>
        <v>228.997</v>
      </c>
      <c r="J35" s="882">
        <f t="shared" si="22"/>
        <v>0</v>
      </c>
      <c r="K35" s="882">
        <f t="shared" si="22"/>
        <v>228.997</v>
      </c>
      <c r="L35" s="882">
        <f t="shared" si="22"/>
        <v>127196.12599999999</v>
      </c>
      <c r="M35" s="882">
        <f t="shared" si="22"/>
        <v>124008.84800000001</v>
      </c>
      <c r="N35" s="882">
        <f t="shared" si="22"/>
        <v>3187.461</v>
      </c>
      <c r="O35" s="882">
        <f t="shared" si="22"/>
        <v>604883.296</v>
      </c>
      <c r="P35" s="882">
        <f t="shared" si="22"/>
        <v>270310.846</v>
      </c>
      <c r="Q35" s="882">
        <f t="shared" si="22"/>
        <v>266869.021</v>
      </c>
      <c r="R35" s="882">
        <f t="shared" si="22"/>
        <v>3441.825</v>
      </c>
      <c r="S35" s="882">
        <f t="shared" si="22"/>
        <v>93779.81</v>
      </c>
      <c r="T35" s="882">
        <f t="shared" si="22"/>
        <v>5336.62</v>
      </c>
      <c r="U35" s="882">
        <f t="shared" si="22"/>
        <v>0</v>
      </c>
      <c r="V35" s="882">
        <f t="shared" si="22"/>
        <v>0</v>
      </c>
      <c r="W35" s="882">
        <f t="shared" si="22"/>
        <v>0</v>
      </c>
      <c r="X35" s="882">
        <f t="shared" si="22"/>
        <v>0</v>
      </c>
      <c r="Y35" s="882">
        <f t="shared" si="22"/>
        <v>0</v>
      </c>
      <c r="Z35" s="882">
        <f t="shared" si="22"/>
        <v>0</v>
      </c>
      <c r="AA35" s="902">
        <f t="shared" si="22"/>
        <v>235456.02</v>
      </c>
      <c r="AB35" s="909">
        <f t="shared" si="22"/>
        <v>0</v>
      </c>
      <c r="AC35" s="910">
        <f t="shared" si="22"/>
        <v>0</v>
      </c>
      <c r="AD35" s="909">
        <f t="shared" si="22"/>
        <v>0</v>
      </c>
      <c r="AE35" s="901">
        <f>SUM(AE27:AE34)</f>
        <v>235456.02</v>
      </c>
      <c r="AF35" s="911">
        <f>SUM(AF27:AF34)</f>
        <v>105021</v>
      </c>
      <c r="AG35" s="901">
        <f>SUM(AG27:AG34)</f>
        <v>128704</v>
      </c>
      <c r="AH35" s="893">
        <f>SUM(AH27:AH34)</f>
        <v>1189</v>
      </c>
      <c r="AI35" s="886"/>
      <c r="AJ35" s="886"/>
      <c r="AK35" s="886"/>
      <c r="AL35" s="886"/>
      <c r="AM35" s="886"/>
      <c r="AN35" s="886"/>
      <c r="AO35" s="886"/>
    </row>
    <row r="36" spans="1:40" ht="21" customHeight="1">
      <c r="A36" s="912" t="s">
        <v>2587</v>
      </c>
      <c r="B36" s="845">
        <f aca="true" t="shared" si="23" ref="B36:B41">C36+D36</f>
        <v>12803</v>
      </c>
      <c r="C36" s="913">
        <v>1050</v>
      </c>
      <c r="D36" s="913">
        <v>11753</v>
      </c>
      <c r="E36" s="914">
        <v>9679</v>
      </c>
      <c r="F36" s="915">
        <f aca="true" t="shared" si="24" ref="F36:F41">G36+H36</f>
        <v>213226.448</v>
      </c>
      <c r="G36" s="913">
        <v>2683.1</v>
      </c>
      <c r="H36" s="894">
        <f>I36+L36+O36-0.2</f>
        <v>210543.348</v>
      </c>
      <c r="I36" s="850">
        <f aca="true" t="shared" si="25" ref="I36:I41">J36+K36</f>
        <v>0</v>
      </c>
      <c r="J36" s="913"/>
      <c r="K36" s="913"/>
      <c r="L36" s="845">
        <f aca="true" t="shared" si="26" ref="L36:L41">M36+N36</f>
        <v>7760.2</v>
      </c>
      <c r="M36" s="913">
        <f>7756.7-39.5</f>
        <v>7717.2</v>
      </c>
      <c r="N36" s="915">
        <v>43</v>
      </c>
      <c r="O36" s="895">
        <f aca="true" t="shared" si="27" ref="O36:O41">P36+S36+T36+U36+V36+AA36</f>
        <v>202783.348</v>
      </c>
      <c r="P36" s="851">
        <f aca="true" t="shared" si="28" ref="P36:P41">Q36+R36</f>
        <v>91298.344</v>
      </c>
      <c r="Q36" s="863">
        <v>89210.303</v>
      </c>
      <c r="R36" s="863">
        <v>2088.041</v>
      </c>
      <c r="S36" s="861">
        <v>31393.099</v>
      </c>
      <c r="T36" s="861">
        <v>1784</v>
      </c>
      <c r="U36" s="861"/>
      <c r="V36" s="845">
        <v>190.105</v>
      </c>
      <c r="W36" s="861">
        <v>700</v>
      </c>
      <c r="X36" s="865">
        <v>700</v>
      </c>
      <c r="Y36" s="861">
        <v>150</v>
      </c>
      <c r="Z36" s="861"/>
      <c r="AA36" s="868">
        <f aca="true" t="shared" si="29" ref="AA36:AA41">AB36+AC36+AD36+AE36</f>
        <v>78117.8</v>
      </c>
      <c r="AB36" s="861"/>
      <c r="AC36" s="861"/>
      <c r="AD36" s="861">
        <v>1333</v>
      </c>
      <c r="AE36" s="867">
        <f>82316.8-T36-AD36-2415</f>
        <v>76784.8</v>
      </c>
      <c r="AF36" s="868">
        <v>21187</v>
      </c>
      <c r="AG36" s="867">
        <f>45834+113</f>
        <v>45947</v>
      </c>
      <c r="AH36" s="896">
        <f>98+259</f>
        <v>357</v>
      </c>
      <c r="AI36" s="736"/>
      <c r="AJ36" s="891"/>
      <c r="AK36" s="736"/>
      <c r="AL36" s="736"/>
      <c r="AM36" s="736"/>
      <c r="AN36" s="736"/>
    </row>
    <row r="37" spans="1:40" ht="21" customHeight="1">
      <c r="A37" s="912" t="s">
        <v>2588</v>
      </c>
      <c r="B37" s="855">
        <f t="shared" si="23"/>
        <v>8934</v>
      </c>
      <c r="C37" s="913">
        <v>332</v>
      </c>
      <c r="D37" s="913">
        <v>8602</v>
      </c>
      <c r="E37" s="914">
        <v>7085</v>
      </c>
      <c r="F37" s="915">
        <f t="shared" si="24"/>
        <v>135922.08800000002</v>
      </c>
      <c r="G37" s="913">
        <v>1744.495</v>
      </c>
      <c r="H37" s="897">
        <f>I37+L37+O37</f>
        <v>134177.59300000002</v>
      </c>
      <c r="I37" s="860">
        <f t="shared" si="25"/>
        <v>0</v>
      </c>
      <c r="J37" s="913"/>
      <c r="K37" s="913"/>
      <c r="L37" s="855">
        <f t="shared" si="26"/>
        <v>12287.367</v>
      </c>
      <c r="M37" s="913">
        <f>12347-59.633</f>
        <v>12287.367</v>
      </c>
      <c r="N37" s="915">
        <f>1680-1680</f>
        <v>0</v>
      </c>
      <c r="O37" s="889">
        <f t="shared" si="27"/>
        <v>121890.22600000001</v>
      </c>
      <c r="P37" s="862">
        <f t="shared" si="28"/>
        <v>61461.274000000005</v>
      </c>
      <c r="Q37" s="863">
        <v>60288.982</v>
      </c>
      <c r="R37" s="863">
        <v>1172.292</v>
      </c>
      <c r="S37" s="861">
        <v>21207.524</v>
      </c>
      <c r="T37" s="861">
        <v>1205.782</v>
      </c>
      <c r="U37" s="861"/>
      <c r="V37" s="861">
        <v>280.146</v>
      </c>
      <c r="W37" s="861">
        <v>672</v>
      </c>
      <c r="X37" s="865">
        <v>672</v>
      </c>
      <c r="Y37" s="861">
        <v>441</v>
      </c>
      <c r="Z37" s="861"/>
      <c r="AA37" s="868">
        <f t="shared" si="29"/>
        <v>37735.5</v>
      </c>
      <c r="AB37" s="861"/>
      <c r="AC37" s="861"/>
      <c r="AD37" s="861">
        <v>1367</v>
      </c>
      <c r="AE37" s="867">
        <f>39369.5-T37-AD37-428.218</f>
        <v>36368.5</v>
      </c>
      <c r="AF37" s="868">
        <v>12689</v>
      </c>
      <c r="AG37" s="867">
        <f>22326+44</f>
        <v>22370</v>
      </c>
      <c r="AH37" s="898">
        <f>76+189</f>
        <v>265</v>
      </c>
      <c r="AI37" s="736"/>
      <c r="AJ37" s="891"/>
      <c r="AK37" s="736"/>
      <c r="AL37" s="736"/>
      <c r="AM37" s="736"/>
      <c r="AN37" s="736"/>
    </row>
    <row r="38" spans="1:40" ht="21" customHeight="1">
      <c r="A38" s="912" t="s">
        <v>2589</v>
      </c>
      <c r="B38" s="855">
        <f t="shared" si="23"/>
        <v>14350</v>
      </c>
      <c r="C38" s="913">
        <v>1633</v>
      </c>
      <c r="D38" s="913">
        <v>12717</v>
      </c>
      <c r="E38" s="914">
        <v>10473</v>
      </c>
      <c r="F38" s="915">
        <f t="shared" si="24"/>
        <v>157502.728</v>
      </c>
      <c r="G38" s="913">
        <v>703.427</v>
      </c>
      <c r="H38" s="897">
        <f>I38+L38+O38</f>
        <v>156799.301</v>
      </c>
      <c r="I38" s="860">
        <f t="shared" si="25"/>
        <v>0</v>
      </c>
      <c r="J38" s="913"/>
      <c r="K38" s="913"/>
      <c r="L38" s="855">
        <f t="shared" si="26"/>
        <v>10389.4</v>
      </c>
      <c r="M38" s="913">
        <v>10389.4</v>
      </c>
      <c r="N38" s="915">
        <f>396-396</f>
        <v>0</v>
      </c>
      <c r="O38" s="889">
        <f t="shared" si="27"/>
        <v>146409.901</v>
      </c>
      <c r="P38" s="862">
        <f t="shared" si="28"/>
        <v>75460.301</v>
      </c>
      <c r="Q38" s="863">
        <v>74065</v>
      </c>
      <c r="R38" s="863">
        <v>1395.301</v>
      </c>
      <c r="S38" s="861">
        <v>26118</v>
      </c>
      <c r="T38" s="861">
        <v>1481.721</v>
      </c>
      <c r="U38" s="861"/>
      <c r="V38" s="861">
        <v>370.128</v>
      </c>
      <c r="W38" s="861">
        <v>290</v>
      </c>
      <c r="X38" s="865">
        <v>290</v>
      </c>
      <c r="Y38" s="861">
        <v>60</v>
      </c>
      <c r="Z38" s="861"/>
      <c r="AA38" s="868">
        <f t="shared" si="29"/>
        <v>42979.751000000004</v>
      </c>
      <c r="AB38" s="861"/>
      <c r="AC38" s="861"/>
      <c r="AD38" s="861">
        <v>1537</v>
      </c>
      <c r="AE38" s="867">
        <f>44949.1-T38-AD38-487.628</f>
        <v>41442.751000000004</v>
      </c>
      <c r="AF38" s="868">
        <v>21142</v>
      </c>
      <c r="AG38" s="867">
        <f>17179+48</f>
        <v>17227</v>
      </c>
      <c r="AH38" s="896">
        <f>115+203</f>
        <v>318</v>
      </c>
      <c r="AI38" s="736"/>
      <c r="AJ38" s="891"/>
      <c r="AK38" s="736"/>
      <c r="AL38" s="736"/>
      <c r="AM38" s="736"/>
      <c r="AN38" s="736"/>
    </row>
    <row r="39" spans="1:40" ht="21" customHeight="1">
      <c r="A39" s="912" t="s">
        <v>2590</v>
      </c>
      <c r="B39" s="855">
        <f t="shared" si="23"/>
        <v>3390</v>
      </c>
      <c r="C39" s="913">
        <v>48</v>
      </c>
      <c r="D39" s="913">
        <v>3342</v>
      </c>
      <c r="E39" s="914">
        <v>2752</v>
      </c>
      <c r="F39" s="915">
        <f t="shared" si="24"/>
        <v>51756.9</v>
      </c>
      <c r="G39" s="913">
        <v>1142</v>
      </c>
      <c r="H39" s="897">
        <f>I39+L39+O39</f>
        <v>50614.9</v>
      </c>
      <c r="I39" s="860">
        <f t="shared" si="25"/>
        <v>0</v>
      </c>
      <c r="J39" s="913"/>
      <c r="K39" s="913"/>
      <c r="L39" s="855">
        <f t="shared" si="26"/>
        <v>4556.6</v>
      </c>
      <c r="M39" s="913">
        <f>5698.6-1142</f>
        <v>4556.6</v>
      </c>
      <c r="N39" s="915">
        <f>276-276</f>
        <v>0</v>
      </c>
      <c r="O39" s="889">
        <f t="shared" si="27"/>
        <v>46058.3</v>
      </c>
      <c r="P39" s="862">
        <f t="shared" si="28"/>
        <v>23110</v>
      </c>
      <c r="Q39" s="863">
        <v>22779</v>
      </c>
      <c r="R39" s="863">
        <v>331</v>
      </c>
      <c r="S39" s="861">
        <v>7981</v>
      </c>
      <c r="T39" s="861">
        <v>455.58</v>
      </c>
      <c r="U39" s="861"/>
      <c r="V39" s="861">
        <v>0</v>
      </c>
      <c r="W39" s="861">
        <v>0</v>
      </c>
      <c r="X39" s="865">
        <v>0</v>
      </c>
      <c r="Y39" s="861">
        <v>40</v>
      </c>
      <c r="Z39" s="861"/>
      <c r="AA39" s="868">
        <f t="shared" si="29"/>
        <v>14511.72</v>
      </c>
      <c r="AB39" s="861"/>
      <c r="AC39" s="861"/>
      <c r="AD39" s="861">
        <v>573</v>
      </c>
      <c r="AE39" s="867">
        <f>14967.3-T39-AD39</f>
        <v>13938.72</v>
      </c>
      <c r="AF39" s="868">
        <v>4171</v>
      </c>
      <c r="AG39" s="867">
        <f>9004+57</f>
        <v>9061</v>
      </c>
      <c r="AH39" s="898">
        <f>30+65</f>
        <v>95</v>
      </c>
      <c r="AI39" s="736"/>
      <c r="AJ39" s="891"/>
      <c r="AK39" s="736"/>
      <c r="AL39" s="736"/>
      <c r="AM39" s="736"/>
      <c r="AN39" s="736"/>
    </row>
    <row r="40" spans="1:40" ht="21" customHeight="1">
      <c r="A40" s="912" t="s">
        <v>2591</v>
      </c>
      <c r="B40" s="855">
        <f t="shared" si="23"/>
        <v>3192</v>
      </c>
      <c r="C40" s="913">
        <v>35</v>
      </c>
      <c r="D40" s="913">
        <v>3157</v>
      </c>
      <c r="E40" s="914">
        <v>2600</v>
      </c>
      <c r="F40" s="915">
        <f t="shared" si="24"/>
        <v>68736.20000000001</v>
      </c>
      <c r="G40" s="913">
        <v>1710.433</v>
      </c>
      <c r="H40" s="897">
        <f>I40+L40+O40</f>
        <v>67025.767</v>
      </c>
      <c r="I40" s="860">
        <f t="shared" si="25"/>
        <v>0</v>
      </c>
      <c r="J40" s="913"/>
      <c r="K40" s="913"/>
      <c r="L40" s="855">
        <f t="shared" si="26"/>
        <v>23825.412999999997</v>
      </c>
      <c r="M40" s="913">
        <f>23563-34.347</f>
        <v>23528.653</v>
      </c>
      <c r="N40" s="915">
        <f>297-0.24</f>
        <v>296.76</v>
      </c>
      <c r="O40" s="889">
        <f t="shared" si="27"/>
        <v>43200.35400000001</v>
      </c>
      <c r="P40" s="862">
        <f t="shared" si="28"/>
        <v>21279.88</v>
      </c>
      <c r="Q40" s="863">
        <v>21012.755</v>
      </c>
      <c r="R40" s="863">
        <v>267.125</v>
      </c>
      <c r="S40" s="861">
        <v>7373.483</v>
      </c>
      <c r="T40" s="861">
        <v>420.255</v>
      </c>
      <c r="U40" s="861"/>
      <c r="V40" s="861">
        <v>0</v>
      </c>
      <c r="W40" s="861">
        <v>164</v>
      </c>
      <c r="X40" s="865">
        <v>164</v>
      </c>
      <c r="Y40" s="861">
        <v>25</v>
      </c>
      <c r="Z40" s="861"/>
      <c r="AA40" s="868">
        <f t="shared" si="29"/>
        <v>14126.736</v>
      </c>
      <c r="AB40" s="861"/>
      <c r="AC40" s="861"/>
      <c r="AD40" s="861">
        <v>564</v>
      </c>
      <c r="AE40" s="867">
        <f>15989.2-T40-AD40-1442.209</f>
        <v>13562.736</v>
      </c>
      <c r="AF40" s="868">
        <v>7119</v>
      </c>
      <c r="AG40" s="867">
        <f>4308+23</f>
        <v>4331</v>
      </c>
      <c r="AH40" s="896">
        <f>27+58</f>
        <v>85</v>
      </c>
      <c r="AI40" s="736"/>
      <c r="AJ40" s="891"/>
      <c r="AK40" s="736"/>
      <c r="AL40" s="736"/>
      <c r="AM40" s="736"/>
      <c r="AN40" s="736"/>
    </row>
    <row r="41" spans="1:40" ht="21" customHeight="1" thickBot="1">
      <c r="A41" s="912" t="s">
        <v>2592</v>
      </c>
      <c r="B41" s="855">
        <f t="shared" si="23"/>
        <v>2051</v>
      </c>
      <c r="C41" s="913">
        <v>35</v>
      </c>
      <c r="D41" s="913">
        <v>2016</v>
      </c>
      <c r="E41" s="914">
        <v>1660</v>
      </c>
      <c r="F41" s="915">
        <f t="shared" si="24"/>
        <v>19315.343</v>
      </c>
      <c r="G41" s="913">
        <v>443.944</v>
      </c>
      <c r="H41" s="897">
        <f>I41+L41+O41</f>
        <v>18871.399</v>
      </c>
      <c r="I41" s="860">
        <f t="shared" si="25"/>
        <v>0</v>
      </c>
      <c r="J41" s="913"/>
      <c r="K41" s="913"/>
      <c r="L41" s="855">
        <f t="shared" si="26"/>
        <v>2592.307</v>
      </c>
      <c r="M41" s="913">
        <f>2600-7.693</f>
        <v>2592.307</v>
      </c>
      <c r="N41" s="915">
        <v>0</v>
      </c>
      <c r="O41" s="889">
        <f t="shared" si="27"/>
        <v>16279.092</v>
      </c>
      <c r="P41" s="862">
        <f t="shared" si="28"/>
        <v>10514.226</v>
      </c>
      <c r="Q41" s="863">
        <v>10373.226</v>
      </c>
      <c r="R41" s="863">
        <v>141</v>
      </c>
      <c r="S41" s="861">
        <v>3616.966</v>
      </c>
      <c r="T41" s="861">
        <v>207.5</v>
      </c>
      <c r="U41" s="861"/>
      <c r="V41" s="861">
        <v>0</v>
      </c>
      <c r="W41" s="861">
        <v>200</v>
      </c>
      <c r="X41" s="865">
        <v>200</v>
      </c>
      <c r="Y41" s="861">
        <v>50</v>
      </c>
      <c r="Z41" s="861"/>
      <c r="AA41" s="866">
        <f t="shared" si="29"/>
        <v>1940.4</v>
      </c>
      <c r="AB41" s="861"/>
      <c r="AC41" s="861"/>
      <c r="AD41" s="861">
        <v>214</v>
      </c>
      <c r="AE41" s="867">
        <f>2150.4-T41-AD41-2.5</f>
        <v>1726.4</v>
      </c>
      <c r="AF41" s="868">
        <v>0</v>
      </c>
      <c r="AG41" s="867">
        <f>2032+17</f>
        <v>2049</v>
      </c>
      <c r="AH41" s="916">
        <f>17+20</f>
        <v>37</v>
      </c>
      <c r="AI41" s="736"/>
      <c r="AJ41" s="891"/>
      <c r="AK41" s="736"/>
      <c r="AL41" s="736"/>
      <c r="AM41" s="736"/>
      <c r="AN41" s="736"/>
    </row>
    <row r="42" spans="1:40" ht="21" customHeight="1" thickBot="1">
      <c r="A42" s="900" t="s">
        <v>3289</v>
      </c>
      <c r="B42" s="879">
        <f>SUM(C42:D42)</f>
        <v>44720</v>
      </c>
      <c r="C42" s="879">
        <f aca="true" t="shared" si="30" ref="C42:K42">SUM(C36:C41)</f>
        <v>3133</v>
      </c>
      <c r="D42" s="879">
        <f t="shared" si="30"/>
        <v>41587</v>
      </c>
      <c r="E42" s="880">
        <f t="shared" si="30"/>
        <v>34249</v>
      </c>
      <c r="F42" s="881">
        <f>SUM(F36:F41)</f>
        <v>646459.707</v>
      </c>
      <c r="G42" s="881">
        <f>SUM(G36:G41)</f>
        <v>8427.399</v>
      </c>
      <c r="H42" s="892">
        <f t="shared" si="30"/>
        <v>638032.308</v>
      </c>
      <c r="I42" s="879">
        <f t="shared" si="30"/>
        <v>0</v>
      </c>
      <c r="J42" s="879">
        <f t="shared" si="30"/>
        <v>0</v>
      </c>
      <c r="K42" s="879">
        <f t="shared" si="30"/>
        <v>0</v>
      </c>
      <c r="L42" s="879">
        <f>SUM(L36:L41)</f>
        <v>61411.287</v>
      </c>
      <c r="M42" s="879">
        <f aca="true" t="shared" si="31" ref="M42:AC42">SUM(M36:M41)</f>
        <v>61071.526999999995</v>
      </c>
      <c r="N42" s="879">
        <f t="shared" si="31"/>
        <v>339.76</v>
      </c>
      <c r="O42" s="882">
        <f t="shared" si="31"/>
        <v>576621.221</v>
      </c>
      <c r="P42" s="879">
        <f t="shared" si="31"/>
        <v>283124.025</v>
      </c>
      <c r="Q42" s="879">
        <f t="shared" si="31"/>
        <v>277729.266</v>
      </c>
      <c r="R42" s="879">
        <f t="shared" si="31"/>
        <v>5394.759</v>
      </c>
      <c r="S42" s="879">
        <f t="shared" si="31"/>
        <v>97690.072</v>
      </c>
      <c r="T42" s="879">
        <f t="shared" si="31"/>
        <v>5554.838000000001</v>
      </c>
      <c r="U42" s="879">
        <f t="shared" si="31"/>
        <v>0</v>
      </c>
      <c r="V42" s="879">
        <f t="shared" si="31"/>
        <v>840.3789999999999</v>
      </c>
      <c r="W42" s="879">
        <f t="shared" si="31"/>
        <v>2026</v>
      </c>
      <c r="X42" s="879">
        <f t="shared" si="31"/>
        <v>2026</v>
      </c>
      <c r="Y42" s="879">
        <f t="shared" si="31"/>
        <v>766</v>
      </c>
      <c r="Z42" s="879">
        <f t="shared" si="31"/>
        <v>0</v>
      </c>
      <c r="AA42" s="917">
        <f t="shared" si="31"/>
        <v>189411.907</v>
      </c>
      <c r="AB42" s="879">
        <f t="shared" si="31"/>
        <v>0</v>
      </c>
      <c r="AC42" s="879">
        <f t="shared" si="31"/>
        <v>0</v>
      </c>
      <c r="AD42" s="879">
        <f>SUM(AD36:AD41)</f>
        <v>5588</v>
      </c>
      <c r="AE42" s="880">
        <f>AE36+AE37+AE38+AE39+AE40+AE41</f>
        <v>183823.907</v>
      </c>
      <c r="AF42" s="917">
        <f>SUM(AF36:AF41)</f>
        <v>66308</v>
      </c>
      <c r="AG42" s="880">
        <f>SUM(AG36:AG41)</f>
        <v>100985</v>
      </c>
      <c r="AH42" s="893">
        <f>SUM(AH36:AH41)</f>
        <v>1157</v>
      </c>
      <c r="AI42" s="886"/>
      <c r="AJ42" s="886"/>
      <c r="AK42" s="886"/>
      <c r="AL42" s="886"/>
      <c r="AM42" s="886"/>
      <c r="AN42" s="736"/>
    </row>
    <row r="43" spans="1:40" ht="21" customHeight="1" thickBot="1">
      <c r="A43" s="912" t="s">
        <v>2593</v>
      </c>
      <c r="B43" s="861">
        <f>C43+D43</f>
        <v>7229</v>
      </c>
      <c r="C43" s="913">
        <v>4260</v>
      </c>
      <c r="D43" s="913">
        <v>2969</v>
      </c>
      <c r="E43" s="914">
        <v>2445</v>
      </c>
      <c r="F43" s="915">
        <f>G43+H43</f>
        <v>217365.59958</v>
      </c>
      <c r="G43" s="913">
        <v>3222.999</v>
      </c>
      <c r="H43" s="888">
        <f>I43+L43+O43-198</f>
        <v>214142.60058</v>
      </c>
      <c r="I43" s="866">
        <f>J43+K43</f>
        <v>1796.693</v>
      </c>
      <c r="J43" s="913">
        <v>463.642</v>
      </c>
      <c r="K43" s="913">
        <v>1333.051</v>
      </c>
      <c r="L43" s="861">
        <f>M43+N43</f>
        <v>21278.297</v>
      </c>
      <c r="M43" s="913">
        <f>21374-95.703</f>
        <v>21278.297</v>
      </c>
      <c r="N43" s="915">
        <v>0</v>
      </c>
      <c r="O43" s="889">
        <f>P43+S43+T43+U43+V43+AA43</f>
        <v>191265.61058</v>
      </c>
      <c r="P43" s="865">
        <f>Q43+R43</f>
        <v>92439.731</v>
      </c>
      <c r="Q43" s="861">
        <v>90460.371</v>
      </c>
      <c r="R43" s="866">
        <v>1979.36</v>
      </c>
      <c r="S43" s="861">
        <v>31546.274</v>
      </c>
      <c r="T43" s="861">
        <v>1808.473</v>
      </c>
      <c r="U43" s="861">
        <v>0</v>
      </c>
      <c r="V43" s="861">
        <v>2.514</v>
      </c>
      <c r="W43" s="861">
        <v>200</v>
      </c>
      <c r="X43" s="870">
        <v>200</v>
      </c>
      <c r="Y43" s="861">
        <v>180</v>
      </c>
      <c r="Z43" s="861">
        <v>0</v>
      </c>
      <c r="AA43" s="866">
        <f>AB43+AC43+AD43+AE43</f>
        <v>65468.61858000001</v>
      </c>
      <c r="AB43" s="861">
        <v>0</v>
      </c>
      <c r="AC43" s="861">
        <v>0</v>
      </c>
      <c r="AD43" s="861">
        <v>1321</v>
      </c>
      <c r="AE43" s="867">
        <f>69227.6-T43-AD43-K43-3.643-811.81442+198</f>
        <v>64147.61858000001</v>
      </c>
      <c r="AF43" s="868">
        <v>45118</v>
      </c>
      <c r="AG43" s="867">
        <f>16669+148</f>
        <v>16817</v>
      </c>
      <c r="AH43" s="896">
        <f>201+363</f>
        <v>564</v>
      </c>
      <c r="AI43" s="736"/>
      <c r="AJ43" s="891"/>
      <c r="AK43" s="736"/>
      <c r="AL43" s="736"/>
      <c r="AM43" s="736"/>
      <c r="AN43" s="736"/>
    </row>
    <row r="44" spans="1:40" ht="21" customHeight="1" thickBot="1">
      <c r="A44" s="900" t="s">
        <v>3290</v>
      </c>
      <c r="B44" s="879">
        <f aca="true" t="shared" si="32" ref="B44:AD44">B42+B43</f>
        <v>51949</v>
      </c>
      <c r="C44" s="879">
        <f t="shared" si="32"/>
        <v>7393</v>
      </c>
      <c r="D44" s="879">
        <f t="shared" si="32"/>
        <v>44556</v>
      </c>
      <c r="E44" s="880">
        <f t="shared" si="32"/>
        <v>36694</v>
      </c>
      <c r="F44" s="881">
        <f>F42+F43</f>
        <v>863825.3065800001</v>
      </c>
      <c r="G44" s="881">
        <f>G42+G43</f>
        <v>11650.398</v>
      </c>
      <c r="H44" s="892">
        <f t="shared" si="32"/>
        <v>852174.9085799999</v>
      </c>
      <c r="I44" s="879">
        <f t="shared" si="32"/>
        <v>1796.693</v>
      </c>
      <c r="J44" s="879">
        <f t="shared" si="32"/>
        <v>463.642</v>
      </c>
      <c r="K44" s="879">
        <f t="shared" si="32"/>
        <v>1333.051</v>
      </c>
      <c r="L44" s="879">
        <f t="shared" si="32"/>
        <v>82689.584</v>
      </c>
      <c r="M44" s="879">
        <f t="shared" si="32"/>
        <v>82349.824</v>
      </c>
      <c r="N44" s="879">
        <f t="shared" si="32"/>
        <v>339.76</v>
      </c>
      <c r="O44" s="882">
        <f t="shared" si="32"/>
        <v>767886.83158</v>
      </c>
      <c r="P44" s="879">
        <f t="shared" si="32"/>
        <v>375563.75600000005</v>
      </c>
      <c r="Q44" s="879">
        <f t="shared" si="32"/>
        <v>368189.637</v>
      </c>
      <c r="R44" s="879">
        <f t="shared" si="32"/>
        <v>7374.119</v>
      </c>
      <c r="S44" s="879">
        <f t="shared" si="32"/>
        <v>129236.346</v>
      </c>
      <c r="T44" s="879">
        <f t="shared" si="32"/>
        <v>7363.311000000001</v>
      </c>
      <c r="U44" s="879">
        <f t="shared" si="32"/>
        <v>0</v>
      </c>
      <c r="V44" s="879">
        <f t="shared" si="32"/>
        <v>842.8929999999999</v>
      </c>
      <c r="W44" s="879">
        <f t="shared" si="32"/>
        <v>2226</v>
      </c>
      <c r="X44" s="879">
        <f t="shared" si="32"/>
        <v>2226</v>
      </c>
      <c r="Y44" s="879">
        <f t="shared" si="32"/>
        <v>946</v>
      </c>
      <c r="Z44" s="879">
        <f t="shared" si="32"/>
        <v>0</v>
      </c>
      <c r="AA44" s="883">
        <f t="shared" si="32"/>
        <v>254880.52558000002</v>
      </c>
      <c r="AB44" s="879">
        <f t="shared" si="32"/>
        <v>0</v>
      </c>
      <c r="AC44" s="879">
        <f t="shared" si="32"/>
        <v>0</v>
      </c>
      <c r="AD44" s="879">
        <f t="shared" si="32"/>
        <v>6909</v>
      </c>
      <c r="AE44" s="880">
        <f>AE42+AE43</f>
        <v>247971.52558000002</v>
      </c>
      <c r="AF44" s="883">
        <f>SUM(AF42:AF43)</f>
        <v>111426</v>
      </c>
      <c r="AG44" s="880">
        <f>SUM(AG42:AG43)</f>
        <v>117802</v>
      </c>
      <c r="AH44" s="893">
        <f>AH42+AH43</f>
        <v>1721</v>
      </c>
      <c r="AI44" s="886"/>
      <c r="AJ44" s="886"/>
      <c r="AK44" s="886"/>
      <c r="AL44" s="886"/>
      <c r="AM44" s="886"/>
      <c r="AN44" s="736"/>
    </row>
    <row r="45" spans="1:40" ht="21" customHeight="1" thickBot="1">
      <c r="A45" s="918" t="s">
        <v>3291</v>
      </c>
      <c r="B45" s="861">
        <f>C45+D45</f>
        <v>3360</v>
      </c>
      <c r="C45" s="919">
        <v>80</v>
      </c>
      <c r="D45" s="919">
        <v>3280</v>
      </c>
      <c r="E45" s="920">
        <v>2701</v>
      </c>
      <c r="F45" s="921">
        <f>G45+H45</f>
        <v>22985.52</v>
      </c>
      <c r="G45" s="919">
        <v>143.047</v>
      </c>
      <c r="H45" s="888">
        <f>I45+L45+O45</f>
        <v>22842.473</v>
      </c>
      <c r="I45" s="866">
        <f>J45+K45</f>
        <v>0</v>
      </c>
      <c r="J45" s="919"/>
      <c r="K45" s="919"/>
      <c r="L45" s="861">
        <f>M45+N45</f>
        <v>1586.2</v>
      </c>
      <c r="M45" s="919">
        <v>1586.2</v>
      </c>
      <c r="N45" s="921">
        <f>204-204</f>
        <v>0</v>
      </c>
      <c r="O45" s="889">
        <f>P45+S45+T45+U45+V45+AA45</f>
        <v>21256.273</v>
      </c>
      <c r="P45" s="877">
        <f>Q45+R45</f>
        <v>10902.208</v>
      </c>
      <c r="Q45" s="872">
        <v>10593.695</v>
      </c>
      <c r="R45" s="877">
        <v>308.513</v>
      </c>
      <c r="S45" s="872">
        <v>3705.912</v>
      </c>
      <c r="T45" s="872">
        <v>212</v>
      </c>
      <c r="U45" s="872"/>
      <c r="V45" s="872">
        <v>78.353</v>
      </c>
      <c r="W45" s="872">
        <v>145</v>
      </c>
      <c r="X45" s="877">
        <v>145</v>
      </c>
      <c r="Y45" s="872">
        <v>55</v>
      </c>
      <c r="Z45" s="872">
        <v>0</v>
      </c>
      <c r="AA45" s="866">
        <f>AB45+AC45+AD45+AE45</f>
        <v>6357.8</v>
      </c>
      <c r="AB45" s="872"/>
      <c r="AC45" s="872"/>
      <c r="AD45" s="872">
        <v>0</v>
      </c>
      <c r="AE45" s="867">
        <f>6569.8-T45</f>
        <v>6357.8</v>
      </c>
      <c r="AF45" s="877">
        <v>1561</v>
      </c>
      <c r="AG45" s="873">
        <f>2293+7</f>
        <v>2300</v>
      </c>
      <c r="AH45" s="896">
        <f>30+11</f>
        <v>41</v>
      </c>
      <c r="AI45" s="736"/>
      <c r="AJ45" s="891"/>
      <c r="AK45" s="736"/>
      <c r="AL45" s="736"/>
      <c r="AM45" s="736"/>
      <c r="AN45" s="736"/>
    </row>
    <row r="46" spans="1:40" ht="21" customHeight="1" thickBot="1">
      <c r="A46" s="900" t="s">
        <v>2705</v>
      </c>
      <c r="B46" s="881">
        <f aca="true" t="shared" si="33" ref="B46:K46">SUM(B44:B45)</f>
        <v>55309</v>
      </c>
      <c r="C46" s="881">
        <f t="shared" si="33"/>
        <v>7473</v>
      </c>
      <c r="D46" s="881">
        <f t="shared" si="33"/>
        <v>47836</v>
      </c>
      <c r="E46" s="901">
        <f t="shared" si="33"/>
        <v>39395</v>
      </c>
      <c r="F46" s="881">
        <f>F44+F45</f>
        <v>886810.8265800001</v>
      </c>
      <c r="G46" s="881">
        <f>G44+G45</f>
        <v>11793.445</v>
      </c>
      <c r="H46" s="892">
        <f t="shared" si="33"/>
        <v>875017.3815799999</v>
      </c>
      <c r="I46" s="881">
        <f t="shared" si="33"/>
        <v>1796.693</v>
      </c>
      <c r="J46" s="879">
        <f t="shared" si="33"/>
        <v>463.642</v>
      </c>
      <c r="K46" s="879">
        <f t="shared" si="33"/>
        <v>1333.051</v>
      </c>
      <c r="L46" s="881">
        <f>SUM(L44:L45)</f>
        <v>84275.784</v>
      </c>
      <c r="M46" s="879">
        <f>SUM(M44:M45)</f>
        <v>83936.02399999999</v>
      </c>
      <c r="N46" s="879">
        <f aca="true" t="shared" si="34" ref="N46:AC46">SUM(N44:N45)</f>
        <v>339.76</v>
      </c>
      <c r="O46" s="882">
        <f t="shared" si="34"/>
        <v>789143.10458</v>
      </c>
      <c r="P46" s="881">
        <f t="shared" si="34"/>
        <v>386465.96400000004</v>
      </c>
      <c r="Q46" s="881">
        <f t="shared" si="34"/>
        <v>378783.332</v>
      </c>
      <c r="R46" s="881">
        <f t="shared" si="34"/>
        <v>7682.632</v>
      </c>
      <c r="S46" s="881">
        <f t="shared" si="34"/>
        <v>132942.258</v>
      </c>
      <c r="T46" s="881">
        <f t="shared" si="34"/>
        <v>7575.311000000001</v>
      </c>
      <c r="U46" s="881">
        <f t="shared" si="34"/>
        <v>0</v>
      </c>
      <c r="V46" s="881">
        <f t="shared" si="34"/>
        <v>921.2459999999999</v>
      </c>
      <c r="W46" s="881">
        <f t="shared" si="34"/>
        <v>2371</v>
      </c>
      <c r="X46" s="881">
        <f t="shared" si="34"/>
        <v>2371</v>
      </c>
      <c r="Y46" s="881">
        <f>SUM(Y44:Y45)</f>
        <v>1001</v>
      </c>
      <c r="Z46" s="881">
        <f>SUM(Z44:Z45)</f>
        <v>0</v>
      </c>
      <c r="AA46" s="902">
        <f t="shared" si="34"/>
        <v>261238.32558</v>
      </c>
      <c r="AB46" s="881">
        <f t="shared" si="34"/>
        <v>0</v>
      </c>
      <c r="AC46" s="881">
        <f t="shared" si="34"/>
        <v>0</v>
      </c>
      <c r="AD46" s="881">
        <f>SUM(AD44:AD45)</f>
        <v>6909</v>
      </c>
      <c r="AE46" s="901">
        <f>AE44+AE45</f>
        <v>254329.32558</v>
      </c>
      <c r="AF46" s="902">
        <f>SUM(AF44:AF45)</f>
        <v>112987</v>
      </c>
      <c r="AG46" s="901">
        <f>SUM(AG44:AG45)</f>
        <v>120102</v>
      </c>
      <c r="AH46" s="893">
        <f>SUM(AH44:AH45)</f>
        <v>1762</v>
      </c>
      <c r="AI46" s="886"/>
      <c r="AJ46" s="886"/>
      <c r="AK46" s="886"/>
      <c r="AL46" s="886"/>
      <c r="AM46" s="886"/>
      <c r="AN46" s="736"/>
    </row>
    <row r="47" spans="1:40" ht="21" customHeight="1">
      <c r="A47" s="922" t="s">
        <v>2668</v>
      </c>
      <c r="B47" s="845">
        <f>C47+D47</f>
        <v>987155</v>
      </c>
      <c r="C47" s="923">
        <v>26520</v>
      </c>
      <c r="D47" s="923">
        <v>960635</v>
      </c>
      <c r="E47" s="924">
        <v>791111</v>
      </c>
      <c r="F47" s="925">
        <f>G47+H47</f>
        <v>6070508.029999999</v>
      </c>
      <c r="G47" s="923">
        <v>108593.965</v>
      </c>
      <c r="H47" s="894">
        <f>I47+L47+O47</f>
        <v>5961914.0649999995</v>
      </c>
      <c r="I47" s="850">
        <f>J47+K47</f>
        <v>0</v>
      </c>
      <c r="J47" s="923"/>
      <c r="K47" s="923"/>
      <c r="L47" s="845">
        <f>M47+N47</f>
        <v>729984.1229999999</v>
      </c>
      <c r="M47" s="923">
        <f>794442.1-65200.501</f>
        <v>729241.5989999999</v>
      </c>
      <c r="N47" s="925">
        <f>745-2.476</f>
        <v>742.524</v>
      </c>
      <c r="O47" s="895">
        <f>P47+S47+T47+U47+V47+AA47</f>
        <v>5231929.942</v>
      </c>
      <c r="P47" s="851">
        <f>Q47+R47</f>
        <v>3050330.742</v>
      </c>
      <c r="Q47" s="872">
        <v>2943575.058</v>
      </c>
      <c r="R47" s="876">
        <v>106755.684</v>
      </c>
      <c r="S47" s="872">
        <v>1053808.457</v>
      </c>
      <c r="T47" s="872">
        <v>58861.301</v>
      </c>
      <c r="U47" s="872"/>
      <c r="V47" s="845">
        <v>34841.435</v>
      </c>
      <c r="W47" s="872">
        <v>32965</v>
      </c>
      <c r="X47" s="877">
        <v>32965</v>
      </c>
      <c r="Y47" s="872">
        <v>15256</v>
      </c>
      <c r="Z47" s="872">
        <v>0</v>
      </c>
      <c r="AA47" s="868">
        <f>AB47+AC47+AD47+AE47</f>
        <v>1034088.007</v>
      </c>
      <c r="AB47" s="872"/>
      <c r="AC47" s="872"/>
      <c r="AD47" s="872">
        <v>0</v>
      </c>
      <c r="AE47" s="867">
        <f>1117977.7-T47-25028.392</f>
        <v>1034088.007</v>
      </c>
      <c r="AF47" s="877">
        <v>216172</v>
      </c>
      <c r="AG47" s="873">
        <f>626035+481+3300+2928</f>
        <v>632744</v>
      </c>
      <c r="AH47" s="896">
        <f>8672+581</f>
        <v>9253</v>
      </c>
      <c r="AI47" s="736"/>
      <c r="AJ47" s="891"/>
      <c r="AK47" s="736"/>
      <c r="AL47" s="736"/>
      <c r="AM47" s="736"/>
      <c r="AN47" s="736"/>
    </row>
    <row r="48" spans="1:40" ht="21" customHeight="1">
      <c r="A48" s="912" t="s">
        <v>3207</v>
      </c>
      <c r="B48" s="855">
        <f>C48+D48</f>
        <v>1068</v>
      </c>
      <c r="C48" s="913">
        <v>1068</v>
      </c>
      <c r="D48" s="913">
        <v>0</v>
      </c>
      <c r="E48" s="914"/>
      <c r="F48" s="915">
        <f>G48+H48</f>
        <v>425503.5</v>
      </c>
      <c r="G48" s="913">
        <v>55417.745</v>
      </c>
      <c r="H48" s="897">
        <f>I48+L48+O48</f>
        <v>370085.755</v>
      </c>
      <c r="I48" s="860">
        <f>J48+K48</f>
        <v>0</v>
      </c>
      <c r="J48" s="913"/>
      <c r="K48" s="913"/>
      <c r="L48" s="855">
        <f>M48+N48</f>
        <v>14412.373</v>
      </c>
      <c r="M48" s="913">
        <f>42022-27609.627</f>
        <v>14412.373</v>
      </c>
      <c r="N48" s="915">
        <f>1286-1286</f>
        <v>0</v>
      </c>
      <c r="O48" s="889">
        <f>P48+S48+T48+U48+V48+AA48</f>
        <v>355673.382</v>
      </c>
      <c r="P48" s="862">
        <f>Q48+R48</f>
        <v>86669.951</v>
      </c>
      <c r="Q48" s="861">
        <v>82964.028</v>
      </c>
      <c r="R48" s="863">
        <v>3705.923</v>
      </c>
      <c r="S48" s="861">
        <v>29739.049</v>
      </c>
      <c r="T48" s="861">
        <v>1658.956</v>
      </c>
      <c r="U48" s="861">
        <v>0</v>
      </c>
      <c r="V48" s="861">
        <f>W48+Y48</f>
        <v>0</v>
      </c>
      <c r="W48" s="861">
        <v>0</v>
      </c>
      <c r="X48" s="865"/>
      <c r="Y48" s="861">
        <v>0</v>
      </c>
      <c r="Z48" s="861">
        <v>0</v>
      </c>
      <c r="AA48" s="868">
        <f>AB48+AC48+AD48+AE48</f>
        <v>237605.426</v>
      </c>
      <c r="AB48" s="861"/>
      <c r="AC48" s="861"/>
      <c r="AD48" s="861">
        <v>0</v>
      </c>
      <c r="AE48" s="867">
        <f>266657.5-T48-27393.118</f>
        <v>237605.426</v>
      </c>
      <c r="AF48" s="868">
        <v>29948</v>
      </c>
      <c r="AG48" s="867">
        <f>172830+97</f>
        <v>172927</v>
      </c>
      <c r="AH48" s="898">
        <v>456</v>
      </c>
      <c r="AI48" s="736"/>
      <c r="AJ48" s="891"/>
      <c r="AK48" s="736"/>
      <c r="AL48" s="736"/>
      <c r="AM48" s="736"/>
      <c r="AN48" s="736"/>
    </row>
    <row r="49" spans="1:40" ht="21" customHeight="1" thickBot="1">
      <c r="A49" s="918" t="s">
        <v>3148</v>
      </c>
      <c r="B49" s="855">
        <f>C49+D49</f>
        <v>180</v>
      </c>
      <c r="C49" s="919">
        <v>180</v>
      </c>
      <c r="D49" s="919">
        <v>0</v>
      </c>
      <c r="E49" s="920"/>
      <c r="F49" s="921">
        <f>G49+H49</f>
        <v>17415.259000000002</v>
      </c>
      <c r="G49" s="919">
        <v>115.244</v>
      </c>
      <c r="H49" s="897">
        <f>I49+L49+O49</f>
        <v>17300.015000000003</v>
      </c>
      <c r="I49" s="860">
        <f>J49+K49</f>
        <v>0</v>
      </c>
      <c r="J49" s="919"/>
      <c r="K49" s="919"/>
      <c r="L49" s="855">
        <f>M49+N49</f>
        <v>3798.7560000000003</v>
      </c>
      <c r="M49" s="919">
        <f>3154-1.2</f>
        <v>3152.8</v>
      </c>
      <c r="N49" s="921">
        <f>646-0.044</f>
        <v>645.956</v>
      </c>
      <c r="O49" s="889">
        <f>P49+S49+T49+U49+V49+AA49</f>
        <v>13501.259000000002</v>
      </c>
      <c r="P49" s="862">
        <f>Q49+R49</f>
        <v>6082.402</v>
      </c>
      <c r="Q49" s="861">
        <v>6000.074</v>
      </c>
      <c r="R49" s="863">
        <v>82.328</v>
      </c>
      <c r="S49" s="861">
        <v>2084.057</v>
      </c>
      <c r="T49" s="861">
        <v>120.026</v>
      </c>
      <c r="U49" s="861"/>
      <c r="V49" s="861">
        <f>W49+Y49</f>
        <v>0</v>
      </c>
      <c r="W49" s="861">
        <v>0</v>
      </c>
      <c r="X49" s="865"/>
      <c r="Y49" s="861">
        <v>0</v>
      </c>
      <c r="Z49" s="861">
        <v>0</v>
      </c>
      <c r="AA49" s="866">
        <f>AB49+AC49+AD49+AE49</f>
        <v>5214.774</v>
      </c>
      <c r="AB49" s="861"/>
      <c r="AC49" s="861"/>
      <c r="AD49" s="861">
        <v>0</v>
      </c>
      <c r="AE49" s="867">
        <f>5339.8-T49-5</f>
        <v>5214.774</v>
      </c>
      <c r="AF49" s="868">
        <v>1996</v>
      </c>
      <c r="AG49" s="867">
        <f>1947+24</f>
        <v>1971</v>
      </c>
      <c r="AH49" s="896">
        <v>31</v>
      </c>
      <c r="AI49" s="736"/>
      <c r="AJ49" s="891"/>
      <c r="AK49" s="736"/>
      <c r="AL49" s="736"/>
      <c r="AM49" s="736"/>
      <c r="AN49" s="736"/>
    </row>
    <row r="50" spans="1:40" ht="21" customHeight="1" thickBot="1">
      <c r="A50" s="900" t="s">
        <v>2707</v>
      </c>
      <c r="B50" s="879">
        <f aca="true" t="shared" si="35" ref="B50:AH50">SUM(B47:B49)</f>
        <v>988403</v>
      </c>
      <c r="C50" s="879">
        <f t="shared" si="35"/>
        <v>27768</v>
      </c>
      <c r="D50" s="879">
        <f t="shared" si="35"/>
        <v>960635</v>
      </c>
      <c r="E50" s="880">
        <f t="shared" si="35"/>
        <v>791111</v>
      </c>
      <c r="F50" s="881">
        <f>SUM(F47:F49)</f>
        <v>6513426.788999999</v>
      </c>
      <c r="G50" s="881">
        <f>SUM(G47:G49)</f>
        <v>164126.954</v>
      </c>
      <c r="H50" s="892">
        <f t="shared" si="35"/>
        <v>6349299.834999999</v>
      </c>
      <c r="I50" s="879">
        <f t="shared" si="35"/>
        <v>0</v>
      </c>
      <c r="J50" s="879">
        <f t="shared" si="35"/>
        <v>0</v>
      </c>
      <c r="K50" s="879">
        <f t="shared" si="35"/>
        <v>0</v>
      </c>
      <c r="L50" s="879">
        <f t="shared" si="35"/>
        <v>748195.252</v>
      </c>
      <c r="M50" s="879">
        <f t="shared" si="35"/>
        <v>746806.772</v>
      </c>
      <c r="N50" s="879">
        <f t="shared" si="35"/>
        <v>1388.48</v>
      </c>
      <c r="O50" s="882">
        <f t="shared" si="35"/>
        <v>5601104.583</v>
      </c>
      <c r="P50" s="879">
        <f t="shared" si="35"/>
        <v>3143083.0949999997</v>
      </c>
      <c r="Q50" s="879">
        <f t="shared" si="35"/>
        <v>3032539.16</v>
      </c>
      <c r="R50" s="879">
        <f t="shared" si="35"/>
        <v>110543.93499999998</v>
      </c>
      <c r="S50" s="879">
        <f t="shared" si="35"/>
        <v>1085631.563</v>
      </c>
      <c r="T50" s="879">
        <f t="shared" si="35"/>
        <v>60640.282999999996</v>
      </c>
      <c r="U50" s="879">
        <f t="shared" si="35"/>
        <v>0</v>
      </c>
      <c r="V50" s="879">
        <f t="shared" si="35"/>
        <v>34841.435</v>
      </c>
      <c r="W50" s="879">
        <f t="shared" si="35"/>
        <v>32965</v>
      </c>
      <c r="X50" s="879">
        <f t="shared" si="35"/>
        <v>32965</v>
      </c>
      <c r="Y50" s="879">
        <f t="shared" si="35"/>
        <v>15256</v>
      </c>
      <c r="Z50" s="879">
        <f t="shared" si="35"/>
        <v>0</v>
      </c>
      <c r="AA50" s="884">
        <f t="shared" si="35"/>
        <v>1276908.207</v>
      </c>
      <c r="AB50" s="879">
        <f t="shared" si="35"/>
        <v>0</v>
      </c>
      <c r="AC50" s="879">
        <f t="shared" si="35"/>
        <v>0</v>
      </c>
      <c r="AD50" s="879">
        <f t="shared" si="35"/>
        <v>0</v>
      </c>
      <c r="AE50" s="880">
        <f t="shared" si="35"/>
        <v>1276908.207</v>
      </c>
      <c r="AF50" s="884">
        <f t="shared" si="35"/>
        <v>248116</v>
      </c>
      <c r="AG50" s="880">
        <f t="shared" si="35"/>
        <v>807642</v>
      </c>
      <c r="AH50" s="893">
        <f t="shared" si="35"/>
        <v>9740</v>
      </c>
      <c r="AI50" s="886"/>
      <c r="AJ50" s="886"/>
      <c r="AK50" s="886"/>
      <c r="AL50" s="886"/>
      <c r="AM50" s="886"/>
      <c r="AN50" s="736"/>
    </row>
    <row r="51" spans="1:43" ht="21" customHeight="1" thickBot="1">
      <c r="A51" s="900" t="s">
        <v>2708</v>
      </c>
      <c r="B51" s="926">
        <f aca="true" t="shared" si="36" ref="B51:AH51">B26+B46+B50+B35</f>
        <v>6106000</v>
      </c>
      <c r="C51" s="926">
        <f t="shared" si="36"/>
        <v>256000</v>
      </c>
      <c r="D51" s="926">
        <f t="shared" si="36"/>
        <v>5850000</v>
      </c>
      <c r="E51" s="927">
        <f t="shared" si="36"/>
        <v>4817647</v>
      </c>
      <c r="F51" s="926">
        <f>F26+F35+F46+F50</f>
        <v>46628851.150580004</v>
      </c>
      <c r="G51" s="926">
        <f>G26+G35+G46+G50</f>
        <v>1350182.589</v>
      </c>
      <c r="H51" s="928">
        <f t="shared" si="36"/>
        <v>45278668.56158</v>
      </c>
      <c r="I51" s="926">
        <f t="shared" si="36"/>
        <v>19687.976</v>
      </c>
      <c r="J51" s="926">
        <f t="shared" si="36"/>
        <v>9702.165</v>
      </c>
      <c r="K51" s="926">
        <f t="shared" si="36"/>
        <v>9985.810999999998</v>
      </c>
      <c r="L51" s="926">
        <f t="shared" si="36"/>
        <v>3614001.794</v>
      </c>
      <c r="M51" s="929">
        <f t="shared" si="36"/>
        <v>3455535.9400000004</v>
      </c>
      <c r="N51" s="929">
        <f t="shared" si="36"/>
        <v>158466.03700000004</v>
      </c>
      <c r="O51" s="926">
        <f t="shared" si="36"/>
        <v>41645579.39157999</v>
      </c>
      <c r="P51" s="926">
        <f t="shared" si="36"/>
        <v>21240215.445</v>
      </c>
      <c r="Q51" s="926">
        <f t="shared" si="36"/>
        <v>20791531.543</v>
      </c>
      <c r="R51" s="926">
        <f t="shared" si="36"/>
        <v>448683.902</v>
      </c>
      <c r="S51" s="926">
        <f t="shared" si="36"/>
        <v>7308583.977000001</v>
      </c>
      <c r="T51" s="926">
        <f>T26+T46+T50+T35-1</f>
        <v>415821.07399999996</v>
      </c>
      <c r="U51" s="926">
        <f t="shared" si="36"/>
        <v>2394091.377</v>
      </c>
      <c r="V51" s="926">
        <f t="shared" si="36"/>
        <v>1718664.0210000002</v>
      </c>
      <c r="W51" s="926">
        <f t="shared" si="36"/>
        <v>1776640</v>
      </c>
      <c r="X51" s="926">
        <f t="shared" si="36"/>
        <v>219980</v>
      </c>
      <c r="Y51" s="926">
        <f t="shared" si="36"/>
        <v>107000</v>
      </c>
      <c r="Z51" s="926">
        <f t="shared" si="36"/>
        <v>7260</v>
      </c>
      <c r="AA51" s="928">
        <f t="shared" si="36"/>
        <v>8568202.497580001</v>
      </c>
      <c r="AB51" s="926">
        <f t="shared" si="36"/>
        <v>42682</v>
      </c>
      <c r="AC51" s="929">
        <f t="shared" si="36"/>
        <v>0</v>
      </c>
      <c r="AD51" s="926">
        <f t="shared" si="36"/>
        <v>1943924</v>
      </c>
      <c r="AE51" s="927">
        <f t="shared" si="36"/>
        <v>6581596.497579999</v>
      </c>
      <c r="AF51" s="928">
        <f t="shared" si="36"/>
        <v>1653126</v>
      </c>
      <c r="AG51" s="927">
        <f t="shared" si="36"/>
        <v>4149562</v>
      </c>
      <c r="AH51" s="930">
        <f t="shared" si="36"/>
        <v>73668</v>
      </c>
      <c r="AI51" s="886"/>
      <c r="AJ51" s="886"/>
      <c r="AK51" s="886"/>
      <c r="AL51" s="886"/>
      <c r="AM51" s="886"/>
      <c r="AN51" s="886">
        <f>AN26+AN46+AN50</f>
        <v>0</v>
      </c>
      <c r="AO51" s="886">
        <v>124476</v>
      </c>
      <c r="AP51" s="736">
        <f>AN51+AO51</f>
        <v>124476</v>
      </c>
      <c r="AQ51" s="50" t="s">
        <v>3292</v>
      </c>
    </row>
    <row r="52" spans="1:40" ht="21" customHeight="1">
      <c r="A52" s="912" t="s">
        <v>3209</v>
      </c>
      <c r="B52" s="845">
        <f>C52+D52</f>
        <v>0</v>
      </c>
      <c r="C52" s="913"/>
      <c r="D52" s="913"/>
      <c r="E52" s="914"/>
      <c r="F52" s="915">
        <f>G52+H52</f>
        <v>938932.02</v>
      </c>
      <c r="G52" s="913">
        <v>27978.355</v>
      </c>
      <c r="H52" s="894">
        <f>I52+L52+O52</f>
        <v>910953.665</v>
      </c>
      <c r="I52" s="850">
        <f>J52+K52</f>
        <v>0</v>
      </c>
      <c r="J52" s="913"/>
      <c r="K52" s="913"/>
      <c r="L52" s="845">
        <f>M52+N52</f>
        <v>371999.665</v>
      </c>
      <c r="M52" s="913">
        <f>399978-27978.335</f>
        <v>371999.665</v>
      </c>
      <c r="N52" s="915"/>
      <c r="O52" s="895">
        <f>P52+S52+T52+U52+V52+AA52</f>
        <v>538954</v>
      </c>
      <c r="P52" s="851">
        <f>Q52+R52</f>
        <v>0</v>
      </c>
      <c r="Q52" s="861"/>
      <c r="R52" s="866"/>
      <c r="S52" s="861">
        <v>0</v>
      </c>
      <c r="T52" s="861">
        <v>0</v>
      </c>
      <c r="U52" s="861"/>
      <c r="V52" s="845">
        <f>W52+Y52</f>
        <v>0</v>
      </c>
      <c r="W52" s="861"/>
      <c r="X52" s="870"/>
      <c r="Y52" s="861"/>
      <c r="Z52" s="861"/>
      <c r="AA52" s="868">
        <f>AB52+AC52+AD52+AE52</f>
        <v>538954</v>
      </c>
      <c r="AB52" s="861"/>
      <c r="AC52" s="861">
        <v>538954</v>
      </c>
      <c r="AD52" s="861">
        <v>0</v>
      </c>
      <c r="AE52" s="867">
        <f>AF52+AG52</f>
        <v>0</v>
      </c>
      <c r="AF52" s="868">
        <v>0</v>
      </c>
      <c r="AG52" s="867">
        <v>0</v>
      </c>
      <c r="AH52" s="896">
        <v>1024</v>
      </c>
      <c r="AI52" s="736"/>
      <c r="AJ52" s="736"/>
      <c r="AK52" s="736"/>
      <c r="AL52" s="736"/>
      <c r="AM52" s="736"/>
      <c r="AN52" s="736"/>
    </row>
    <row r="53" spans="1:40" ht="21" customHeight="1">
      <c r="A53" s="912" t="s">
        <v>3210</v>
      </c>
      <c r="B53" s="855">
        <f>C53+D53</f>
        <v>0</v>
      </c>
      <c r="C53" s="913"/>
      <c r="D53" s="913"/>
      <c r="E53" s="914"/>
      <c r="F53" s="915">
        <f>G53+H53</f>
        <v>28276</v>
      </c>
      <c r="G53" s="913">
        <v>26.96</v>
      </c>
      <c r="H53" s="897">
        <f>I53+L53+O53</f>
        <v>28249.04</v>
      </c>
      <c r="I53" s="860">
        <f>J53+K53</f>
        <v>0</v>
      </c>
      <c r="J53" s="913"/>
      <c r="K53" s="913"/>
      <c r="L53" s="855">
        <f>M53+N53</f>
        <v>4973.04</v>
      </c>
      <c r="M53" s="913">
        <f>5000-26.96</f>
        <v>4973.04</v>
      </c>
      <c r="N53" s="915"/>
      <c r="O53" s="889">
        <f>P53+S53+T53+U53+V53+AA53</f>
        <v>23276</v>
      </c>
      <c r="P53" s="862">
        <f>Q53+R53</f>
        <v>0</v>
      </c>
      <c r="Q53" s="861"/>
      <c r="R53" s="866"/>
      <c r="S53" s="861"/>
      <c r="T53" s="861"/>
      <c r="U53" s="861"/>
      <c r="V53" s="861">
        <f>W53+Y53</f>
        <v>0</v>
      </c>
      <c r="W53" s="861"/>
      <c r="X53" s="870"/>
      <c r="Y53" s="861"/>
      <c r="Z53" s="861"/>
      <c r="AA53" s="868">
        <f>AB53+AC53+AD53+AE53</f>
        <v>23276</v>
      </c>
      <c r="AB53" s="861"/>
      <c r="AC53" s="861">
        <v>23276</v>
      </c>
      <c r="AD53" s="861">
        <v>0</v>
      </c>
      <c r="AE53" s="867">
        <v>0</v>
      </c>
      <c r="AF53" s="868"/>
      <c r="AG53" s="867">
        <v>0</v>
      </c>
      <c r="AH53" s="898">
        <v>51</v>
      </c>
      <c r="AI53" s="736"/>
      <c r="AJ53" s="736"/>
      <c r="AK53" s="736"/>
      <c r="AL53" s="736"/>
      <c r="AM53" s="736"/>
      <c r="AN53" s="736"/>
    </row>
    <row r="54" spans="1:40" ht="21" customHeight="1">
      <c r="A54" s="912" t="s">
        <v>3211</v>
      </c>
      <c r="B54" s="855">
        <f>C54+D54</f>
        <v>0</v>
      </c>
      <c r="C54" s="913"/>
      <c r="D54" s="913"/>
      <c r="E54" s="914"/>
      <c r="F54" s="915">
        <f>G54+H54</f>
        <v>55519</v>
      </c>
      <c r="G54" s="913"/>
      <c r="H54" s="897">
        <f>I54+L54+O54</f>
        <v>55519</v>
      </c>
      <c r="I54" s="860">
        <f>J54+K54</f>
        <v>0</v>
      </c>
      <c r="J54" s="913"/>
      <c r="K54" s="913"/>
      <c r="L54" s="855">
        <f>M54+N54</f>
        <v>8203</v>
      </c>
      <c r="M54" s="913">
        <v>8203</v>
      </c>
      <c r="N54" s="915"/>
      <c r="O54" s="889">
        <f>P54+S54+T54+U54+V54+AA54</f>
        <v>47316</v>
      </c>
      <c r="P54" s="862">
        <f>Q54+R54</f>
        <v>0</v>
      </c>
      <c r="Q54" s="861"/>
      <c r="R54" s="866"/>
      <c r="S54" s="861">
        <v>0</v>
      </c>
      <c r="T54" s="861">
        <v>0</v>
      </c>
      <c r="U54" s="861"/>
      <c r="V54" s="861">
        <f>W54+Y54</f>
        <v>0</v>
      </c>
      <c r="W54" s="861"/>
      <c r="X54" s="870"/>
      <c r="Y54" s="861"/>
      <c r="Z54" s="861"/>
      <c r="AA54" s="868">
        <f>AB54+AC54+AD54+AE54</f>
        <v>47316</v>
      </c>
      <c r="AB54" s="861"/>
      <c r="AC54" s="861">
        <v>47316</v>
      </c>
      <c r="AD54" s="861">
        <v>0</v>
      </c>
      <c r="AE54" s="867">
        <f>AF54+AG54</f>
        <v>0</v>
      </c>
      <c r="AF54" s="868">
        <v>0</v>
      </c>
      <c r="AG54" s="867">
        <v>0</v>
      </c>
      <c r="AH54" s="931"/>
      <c r="AI54" s="736"/>
      <c r="AJ54" s="736"/>
      <c r="AK54" s="736"/>
      <c r="AL54" s="736"/>
      <c r="AM54" s="736"/>
      <c r="AN54" s="736"/>
    </row>
    <row r="55" spans="1:40" ht="21" customHeight="1">
      <c r="A55" s="932" t="s">
        <v>2712</v>
      </c>
      <c r="B55" s="855">
        <f>C55+D55</f>
        <v>0</v>
      </c>
      <c r="C55" s="933"/>
      <c r="D55" s="933"/>
      <c r="E55" s="934"/>
      <c r="F55" s="915">
        <f>G55+H55</f>
        <v>9621</v>
      </c>
      <c r="G55" s="913"/>
      <c r="H55" s="897">
        <f>I55+L55+O55</f>
        <v>9621</v>
      </c>
      <c r="I55" s="860">
        <f>J55+K55</f>
        <v>40</v>
      </c>
      <c r="J55" s="913"/>
      <c r="K55" s="913">
        <v>40</v>
      </c>
      <c r="L55" s="855">
        <f>M55+N55</f>
        <v>0</v>
      </c>
      <c r="M55" s="933">
        <v>0</v>
      </c>
      <c r="N55" s="935">
        <v>0</v>
      </c>
      <c r="O55" s="889">
        <f>P55+S55+T55+U55+V55+AA55</f>
        <v>9581</v>
      </c>
      <c r="P55" s="862">
        <f>Q55+R55</f>
        <v>0</v>
      </c>
      <c r="Q55" s="861"/>
      <c r="R55" s="866"/>
      <c r="S55" s="861">
        <v>0</v>
      </c>
      <c r="T55" s="861">
        <v>0</v>
      </c>
      <c r="U55" s="861"/>
      <c r="V55" s="861">
        <f>W55+Y55</f>
        <v>0</v>
      </c>
      <c r="W55" s="861"/>
      <c r="X55" s="870"/>
      <c r="Y55" s="861"/>
      <c r="Z55" s="861"/>
      <c r="AA55" s="868">
        <f>AB55+AC55+AD55+AE55-40</f>
        <v>9581</v>
      </c>
      <c r="AB55" s="861"/>
      <c r="AC55" s="861">
        <v>9621</v>
      </c>
      <c r="AD55" s="861">
        <v>0</v>
      </c>
      <c r="AE55" s="867">
        <f>AF55+AG55</f>
        <v>0</v>
      </c>
      <c r="AF55" s="868">
        <v>0</v>
      </c>
      <c r="AG55" s="867">
        <v>0</v>
      </c>
      <c r="AH55" s="936"/>
      <c r="AI55" s="736"/>
      <c r="AJ55" s="736"/>
      <c r="AK55" s="736"/>
      <c r="AL55" s="736"/>
      <c r="AM55" s="736"/>
      <c r="AN55" s="736"/>
    </row>
    <row r="56" spans="1:40" ht="21" customHeight="1" thickBot="1">
      <c r="A56" s="932" t="s">
        <v>2713</v>
      </c>
      <c r="B56" s="855">
        <f>C56+D56</f>
        <v>0</v>
      </c>
      <c r="C56" s="933"/>
      <c r="D56" s="933"/>
      <c r="E56" s="934"/>
      <c r="F56" s="915">
        <f>G56+H56</f>
        <v>8000</v>
      </c>
      <c r="G56" s="913">
        <v>8000</v>
      </c>
      <c r="H56" s="897">
        <f>I56+L56+O56</f>
        <v>0</v>
      </c>
      <c r="I56" s="860">
        <f>J56+K56</f>
        <v>0</v>
      </c>
      <c r="J56" s="913"/>
      <c r="K56" s="913"/>
      <c r="L56" s="855">
        <f>M56+N56</f>
        <v>0</v>
      </c>
      <c r="M56" s="933">
        <f>8000-8000</f>
        <v>0</v>
      </c>
      <c r="N56" s="935"/>
      <c r="O56" s="889">
        <f>P56+S56+T56+U56+V56+AA56</f>
        <v>0</v>
      </c>
      <c r="P56" s="865">
        <f>Q56+R56</f>
        <v>0</v>
      </c>
      <c r="Q56" s="861"/>
      <c r="R56" s="866"/>
      <c r="S56" s="861">
        <v>0</v>
      </c>
      <c r="T56" s="861">
        <v>0</v>
      </c>
      <c r="U56" s="861"/>
      <c r="V56" s="861">
        <f>W56+Y56</f>
        <v>0</v>
      </c>
      <c r="W56" s="861"/>
      <c r="X56" s="870"/>
      <c r="Y56" s="861"/>
      <c r="Z56" s="861"/>
      <c r="AA56" s="866">
        <f>AB56+AC56+AD56+AE56</f>
        <v>0</v>
      </c>
      <c r="AB56" s="861"/>
      <c r="AC56" s="861">
        <v>0</v>
      </c>
      <c r="AD56" s="861">
        <v>0</v>
      </c>
      <c r="AE56" s="867">
        <f>AF56+AG56</f>
        <v>0</v>
      </c>
      <c r="AF56" s="868">
        <v>0</v>
      </c>
      <c r="AG56" s="867">
        <v>0</v>
      </c>
      <c r="AH56" s="931"/>
      <c r="AI56" s="736"/>
      <c r="AJ56" s="736"/>
      <c r="AK56" s="736"/>
      <c r="AL56" s="736"/>
      <c r="AM56" s="736"/>
      <c r="AN56" s="736"/>
    </row>
    <row r="57" spans="1:40" ht="21" customHeight="1" thickBot="1">
      <c r="A57" s="900" t="s">
        <v>3293</v>
      </c>
      <c r="B57" s="879">
        <f aca="true" t="shared" si="37" ref="B57:K57">SUM(B52:B56)</f>
        <v>0</v>
      </c>
      <c r="C57" s="879">
        <f t="shared" si="37"/>
        <v>0</v>
      </c>
      <c r="D57" s="879">
        <f>SUM(D52:D56)</f>
        <v>0</v>
      </c>
      <c r="E57" s="937">
        <f t="shared" si="37"/>
        <v>0</v>
      </c>
      <c r="F57" s="879">
        <f>SUM(F52:F56)</f>
        <v>1040348.02</v>
      </c>
      <c r="G57" s="892">
        <f t="shared" si="37"/>
        <v>36005.315</v>
      </c>
      <c r="H57" s="892">
        <f t="shared" si="37"/>
        <v>1004342.7050000001</v>
      </c>
      <c r="I57" s="879">
        <f t="shared" si="37"/>
        <v>40</v>
      </c>
      <c r="J57" s="879">
        <f t="shared" si="37"/>
        <v>0</v>
      </c>
      <c r="K57" s="879">
        <f t="shared" si="37"/>
        <v>40</v>
      </c>
      <c r="L57" s="879">
        <f>SUM(L52:L56)</f>
        <v>385175.70499999996</v>
      </c>
      <c r="M57" s="879">
        <f aca="true" t="shared" si="38" ref="M57:AC57">SUM(M52:M56)</f>
        <v>385175.70499999996</v>
      </c>
      <c r="N57" s="879">
        <f t="shared" si="38"/>
        <v>0</v>
      </c>
      <c r="O57" s="882">
        <f t="shared" si="38"/>
        <v>619127</v>
      </c>
      <c r="P57" s="879">
        <f t="shared" si="38"/>
        <v>0</v>
      </c>
      <c r="Q57" s="879">
        <f t="shared" si="38"/>
        <v>0</v>
      </c>
      <c r="R57" s="879">
        <f t="shared" si="38"/>
        <v>0</v>
      </c>
      <c r="S57" s="879">
        <f t="shared" si="38"/>
        <v>0</v>
      </c>
      <c r="T57" s="879">
        <f t="shared" si="38"/>
        <v>0</v>
      </c>
      <c r="U57" s="879">
        <f t="shared" si="38"/>
        <v>0</v>
      </c>
      <c r="V57" s="879">
        <f t="shared" si="38"/>
        <v>0</v>
      </c>
      <c r="W57" s="879">
        <f t="shared" si="38"/>
        <v>0</v>
      </c>
      <c r="X57" s="879">
        <f t="shared" si="38"/>
        <v>0</v>
      </c>
      <c r="Y57" s="879">
        <f t="shared" si="38"/>
        <v>0</v>
      </c>
      <c r="Z57" s="879">
        <f t="shared" si="38"/>
        <v>0</v>
      </c>
      <c r="AA57" s="884">
        <f t="shared" si="38"/>
        <v>619127</v>
      </c>
      <c r="AB57" s="879">
        <f t="shared" si="38"/>
        <v>0</v>
      </c>
      <c r="AC57" s="879">
        <f t="shared" si="38"/>
        <v>619167</v>
      </c>
      <c r="AD57" s="879">
        <f>SUM(AD52:AD56)</f>
        <v>0</v>
      </c>
      <c r="AE57" s="880">
        <f>SUM(AE52:AE56)</f>
        <v>0</v>
      </c>
      <c r="AF57" s="884">
        <f>SUM(AF52:AF56)</f>
        <v>0</v>
      </c>
      <c r="AG57" s="880">
        <f>SUM(AG52:AG56)</f>
        <v>0</v>
      </c>
      <c r="AH57" s="893">
        <f>SUM(AH52:AH56)</f>
        <v>1075</v>
      </c>
      <c r="AI57" s="736"/>
      <c r="AJ57" s="736"/>
      <c r="AK57" s="736"/>
      <c r="AL57" s="736"/>
      <c r="AM57" s="736"/>
      <c r="AN57" s="736"/>
    </row>
    <row r="58" spans="1:40" ht="21" customHeight="1" hidden="1">
      <c r="A58" s="938" t="s">
        <v>3294</v>
      </c>
      <c r="B58" s="939">
        <f>C58+D58</f>
        <v>0</v>
      </c>
      <c r="C58" s="939"/>
      <c r="D58" s="939"/>
      <c r="E58" s="940"/>
      <c r="F58" s="941"/>
      <c r="G58" s="939"/>
      <c r="H58" s="942">
        <f>I58+L58+O58</f>
        <v>0</v>
      </c>
      <c r="I58" s="883">
        <f>J58+K58</f>
        <v>0</v>
      </c>
      <c r="J58" s="879"/>
      <c r="K58" s="879"/>
      <c r="L58" s="879">
        <f>M58+N58</f>
        <v>0</v>
      </c>
      <c r="M58" s="939"/>
      <c r="N58" s="941"/>
      <c r="O58" s="943">
        <f>P58+S58+T58+U58+V58+AA58</f>
        <v>0</v>
      </c>
      <c r="P58" s="944">
        <f>Q58+R58</f>
        <v>0</v>
      </c>
      <c r="Q58" s="939"/>
      <c r="R58" s="941"/>
      <c r="S58" s="939"/>
      <c r="T58" s="939"/>
      <c r="U58" s="939"/>
      <c r="V58" s="939">
        <f>W58+Y58</f>
        <v>0</v>
      </c>
      <c r="W58" s="939"/>
      <c r="X58" s="941"/>
      <c r="Y58" s="939"/>
      <c r="Z58" s="939"/>
      <c r="AA58" s="945">
        <f>AB58+AC58+AD58+AE58</f>
        <v>0</v>
      </c>
      <c r="AB58" s="939">
        <v>0</v>
      </c>
      <c r="AC58" s="939">
        <v>0</v>
      </c>
      <c r="AD58" s="939">
        <v>0</v>
      </c>
      <c r="AE58" s="946">
        <f>AF58+AG58</f>
        <v>0</v>
      </c>
      <c r="AF58" s="941"/>
      <c r="AG58" s="940"/>
      <c r="AH58" s="896">
        <f>60+56</f>
        <v>116</v>
      </c>
      <c r="AI58" s="736"/>
      <c r="AJ58" s="736"/>
      <c r="AK58" s="736"/>
      <c r="AL58" s="736"/>
      <c r="AM58" s="736"/>
      <c r="AN58" s="736"/>
    </row>
    <row r="59" spans="1:40" ht="21" customHeight="1" hidden="1">
      <c r="A59" s="947" t="s">
        <v>3295</v>
      </c>
      <c r="B59" s="948">
        <f>C59+D59</f>
        <v>0</v>
      </c>
      <c r="C59" s="948">
        <v>0</v>
      </c>
      <c r="D59" s="948"/>
      <c r="E59" s="949"/>
      <c r="F59" s="950"/>
      <c r="G59" s="948"/>
      <c r="H59" s="942">
        <f>I59+L59+O59</f>
        <v>0</v>
      </c>
      <c r="I59" s="883">
        <f>J59+K59</f>
        <v>0</v>
      </c>
      <c r="J59" s="951"/>
      <c r="K59" s="951"/>
      <c r="L59" s="879">
        <f>M59+N59</f>
        <v>0</v>
      </c>
      <c r="M59" s="952"/>
      <c r="N59" s="950"/>
      <c r="O59" s="943">
        <f>P59+S59+T59+U59+V59+AA59</f>
        <v>0</v>
      </c>
      <c r="P59" s="944">
        <f>Q59+R59</f>
        <v>0</v>
      </c>
      <c r="Q59" s="929"/>
      <c r="R59" s="945"/>
      <c r="S59" s="929"/>
      <c r="T59" s="929"/>
      <c r="U59" s="929"/>
      <c r="V59" s="929">
        <f>W59+Y59</f>
        <v>0</v>
      </c>
      <c r="W59" s="929"/>
      <c r="X59" s="953"/>
      <c r="Y59" s="929"/>
      <c r="Z59" s="929"/>
      <c r="AA59" s="945">
        <f>AB59+AC59+AD59+AE59</f>
        <v>0</v>
      </c>
      <c r="AB59" s="929">
        <f>-653+653</f>
        <v>0</v>
      </c>
      <c r="AC59" s="929">
        <v>0</v>
      </c>
      <c r="AD59" s="929">
        <v>0</v>
      </c>
      <c r="AE59" s="946">
        <f>AF59+AG59</f>
        <v>0</v>
      </c>
      <c r="AF59" s="954">
        <f>-32899+32899</f>
        <v>0</v>
      </c>
      <c r="AG59" s="946"/>
      <c r="AH59" s="931"/>
      <c r="AI59" s="736">
        <f>100000+14326+360+158000-336280+396+39607-21909+20649-953-154-360-58005-210-4573-4512+58945+43100+6123+855</f>
        <v>15405</v>
      </c>
      <c r="AJ59" s="736"/>
      <c r="AK59" s="736"/>
      <c r="AL59" s="736"/>
      <c r="AM59" s="736"/>
      <c r="AN59" s="736"/>
    </row>
    <row r="60" spans="1:40" ht="21" customHeight="1" thickBot="1">
      <c r="A60" s="955" t="s">
        <v>3150</v>
      </c>
      <c r="B60" s="943">
        <f aca="true" t="shared" si="39" ref="B60:H60">B51+B57+B59+B58</f>
        <v>6106000</v>
      </c>
      <c r="C60" s="943">
        <f t="shared" si="39"/>
        <v>256000</v>
      </c>
      <c r="D60" s="943">
        <f t="shared" si="39"/>
        <v>5850000</v>
      </c>
      <c r="E60" s="956">
        <f t="shared" si="39"/>
        <v>4817647</v>
      </c>
      <c r="F60" s="942">
        <f t="shared" si="39"/>
        <v>47669199.17058001</v>
      </c>
      <c r="G60" s="942">
        <f t="shared" si="39"/>
        <v>1386187.9039999999</v>
      </c>
      <c r="H60" s="942">
        <f t="shared" si="39"/>
        <v>46283011.26658</v>
      </c>
      <c r="I60" s="943">
        <f>J60+K60</f>
        <v>19727.976</v>
      </c>
      <c r="J60" s="943">
        <f>J51+J57+J59</f>
        <v>9702.165</v>
      </c>
      <c r="K60" s="943">
        <f>K51+K57+K59+K58</f>
        <v>10025.810999999998</v>
      </c>
      <c r="L60" s="943">
        <f>L51+L57+L59</f>
        <v>3999177.4990000003</v>
      </c>
      <c r="M60" s="943">
        <f>M51+M57+M59</f>
        <v>3840711.6450000005</v>
      </c>
      <c r="N60" s="943">
        <f>N51+N57+N59</f>
        <v>158466.03700000004</v>
      </c>
      <c r="O60" s="943">
        <f aca="true" t="shared" si="40" ref="O60:T60">O51+O57+O59+O58</f>
        <v>42264706.39157999</v>
      </c>
      <c r="P60" s="943">
        <f t="shared" si="40"/>
        <v>21240215.445</v>
      </c>
      <c r="Q60" s="943">
        <f t="shared" si="40"/>
        <v>20791531.543</v>
      </c>
      <c r="R60" s="943">
        <f t="shared" si="40"/>
        <v>448683.902</v>
      </c>
      <c r="S60" s="943">
        <f t="shared" si="40"/>
        <v>7308583.977000001</v>
      </c>
      <c r="T60" s="943">
        <f t="shared" si="40"/>
        <v>415821.07399999996</v>
      </c>
      <c r="U60" s="943">
        <f>U51+U57+U59</f>
        <v>2394091.377</v>
      </c>
      <c r="V60" s="943">
        <f>V51+V57+V59+V58</f>
        <v>1718664.0210000002</v>
      </c>
      <c r="W60" s="943">
        <f>W51+W57+W59+W58</f>
        <v>1776640</v>
      </c>
      <c r="X60" s="943">
        <f>X51+X57+X59+X58</f>
        <v>219980</v>
      </c>
      <c r="Y60" s="943">
        <f>Y51+Y57+Y59+Y58</f>
        <v>107000</v>
      </c>
      <c r="Z60" s="943">
        <f>Z51+Z57+Z59</f>
        <v>7260</v>
      </c>
      <c r="AA60" s="942">
        <f>AA51+AA57+AA59+AA58</f>
        <v>9187329.497580001</v>
      </c>
      <c r="AB60" s="943">
        <f>AB51+AB57+AB59</f>
        <v>42682</v>
      </c>
      <c r="AC60" s="943">
        <f>AC51+AC57+AC59</f>
        <v>619167</v>
      </c>
      <c r="AD60" s="943">
        <f>AD51+AD57+AD59+AD58</f>
        <v>1943924</v>
      </c>
      <c r="AE60" s="956">
        <f>AE51+AE57+AE59+AE58</f>
        <v>6581596.497579999</v>
      </c>
      <c r="AF60" s="942">
        <f>AF51+AF57+AF59</f>
        <v>1653126</v>
      </c>
      <c r="AG60" s="956">
        <f>AG51+AG57+AG59+AG58</f>
        <v>4149562</v>
      </c>
      <c r="AH60" s="893">
        <f>AH51+AH57+AH59+AH58</f>
        <v>74859</v>
      </c>
      <c r="AI60" s="736"/>
      <c r="AJ60" s="886"/>
      <c r="AK60" s="736"/>
      <c r="AL60" s="736"/>
      <c r="AM60" s="736"/>
      <c r="AN60" s="736"/>
    </row>
    <row r="61" spans="1:40" ht="21" customHeight="1" thickBot="1">
      <c r="A61" s="957" t="s">
        <v>3296</v>
      </c>
      <c r="B61" s="958">
        <f aca="true" t="shared" si="41" ref="B61:AH61">B25+B45+B47</f>
        <v>1031227</v>
      </c>
      <c r="C61" s="959">
        <f t="shared" si="41"/>
        <v>35343</v>
      </c>
      <c r="D61" s="958">
        <f t="shared" si="41"/>
        <v>995884</v>
      </c>
      <c r="E61" s="960">
        <f t="shared" si="41"/>
        <v>820140</v>
      </c>
      <c r="F61" s="961">
        <f t="shared" si="41"/>
        <v>6874209.512999999</v>
      </c>
      <c r="G61" s="961">
        <f t="shared" si="41"/>
        <v>167016.45299999998</v>
      </c>
      <c r="H61" s="961">
        <f t="shared" si="41"/>
        <v>6707193.06</v>
      </c>
      <c r="I61" s="959">
        <f t="shared" si="41"/>
        <v>9589.829</v>
      </c>
      <c r="J61" s="958">
        <f t="shared" si="41"/>
        <v>4499.965</v>
      </c>
      <c r="K61" s="959">
        <f t="shared" si="41"/>
        <v>5089.864</v>
      </c>
      <c r="L61" s="958">
        <f t="shared" si="41"/>
        <v>894113.7429999999</v>
      </c>
      <c r="M61" s="959">
        <f t="shared" si="41"/>
        <v>892353.824</v>
      </c>
      <c r="N61" s="958">
        <f t="shared" si="41"/>
        <v>1759.9189999999999</v>
      </c>
      <c r="O61" s="959">
        <f t="shared" si="41"/>
        <v>5803494.488</v>
      </c>
      <c r="P61" s="958">
        <f t="shared" si="41"/>
        <v>3264024.8510000003</v>
      </c>
      <c r="Q61" s="959">
        <f t="shared" si="41"/>
        <v>3149432.753</v>
      </c>
      <c r="R61" s="958">
        <f t="shared" si="41"/>
        <v>114592.098</v>
      </c>
      <c r="S61" s="959">
        <f t="shared" si="41"/>
        <v>1126692.132</v>
      </c>
      <c r="T61" s="958">
        <f t="shared" si="41"/>
        <v>62978.901</v>
      </c>
      <c r="U61" s="959">
        <f t="shared" si="41"/>
        <v>0</v>
      </c>
      <c r="V61" s="958">
        <f t="shared" si="41"/>
        <v>35648.198</v>
      </c>
      <c r="W61" s="958">
        <f t="shared" si="41"/>
        <v>33910</v>
      </c>
      <c r="X61" s="959">
        <f t="shared" si="41"/>
        <v>33910</v>
      </c>
      <c r="Y61" s="958">
        <f t="shared" si="41"/>
        <v>16011</v>
      </c>
      <c r="Z61" s="958">
        <f t="shared" si="41"/>
        <v>0</v>
      </c>
      <c r="AA61" s="959">
        <f t="shared" si="41"/>
        <v>1314150.406</v>
      </c>
      <c r="AB61" s="958">
        <f t="shared" si="41"/>
        <v>10893</v>
      </c>
      <c r="AC61" s="959">
        <f t="shared" si="41"/>
        <v>0</v>
      </c>
      <c r="AD61" s="958">
        <f t="shared" si="41"/>
        <v>0</v>
      </c>
      <c r="AE61" s="962">
        <f t="shared" si="41"/>
        <v>1303257.406</v>
      </c>
      <c r="AF61" s="961">
        <f t="shared" si="41"/>
        <v>245328</v>
      </c>
      <c r="AG61" s="960">
        <f t="shared" si="41"/>
        <v>979705</v>
      </c>
      <c r="AH61" s="963">
        <f t="shared" si="41"/>
        <v>10063</v>
      </c>
      <c r="AN61" s="736"/>
    </row>
    <row r="62" spans="15:40" ht="13.5" thickTop="1">
      <c r="O62" s="736"/>
      <c r="AN62" s="736"/>
    </row>
    <row r="63" spans="15:40" ht="12.75">
      <c r="O63" s="736"/>
      <c r="AN63" s="736"/>
    </row>
    <row r="64" spans="1:40" ht="12.75">
      <c r="A64" s="768"/>
      <c r="H64" s="964"/>
      <c r="O64" s="736"/>
      <c r="AA64" s="736"/>
      <c r="AD64" s="769"/>
      <c r="AE64" s="736"/>
      <c r="AG64" s="736"/>
      <c r="AN64" s="736"/>
    </row>
    <row r="65" spans="1:40" ht="18">
      <c r="A65" s="1340" t="s">
        <v>3730</v>
      </c>
      <c r="O65" s="736"/>
      <c r="V65" s="1340" t="s">
        <v>3602</v>
      </c>
      <c r="W65" s="1340"/>
      <c r="X65" s="1340"/>
      <c r="Y65" s="1340"/>
      <c r="Z65" s="1340"/>
      <c r="AA65" s="1685"/>
      <c r="AB65" s="1340"/>
      <c r="AC65" s="1685"/>
      <c r="AD65" s="1950" t="s">
        <v>3510</v>
      </c>
      <c r="AE65" s="1950"/>
      <c r="AF65" s="736"/>
      <c r="AG65" s="736"/>
      <c r="AJ65" s="886"/>
      <c r="AN65" s="736"/>
    </row>
    <row r="66" spans="15:40" ht="12.75">
      <c r="O66" s="736"/>
      <c r="AD66" s="736"/>
      <c r="AE66" s="736"/>
      <c r="AF66" s="736"/>
      <c r="AG66" s="736"/>
      <c r="AN66" s="736"/>
    </row>
    <row r="67" spans="15:40" ht="12.75">
      <c r="O67" s="736"/>
      <c r="AD67" s="736"/>
      <c r="AE67" s="736"/>
      <c r="AF67" s="736"/>
      <c r="AG67" s="736"/>
      <c r="AI67" s="736"/>
      <c r="AN67" s="736"/>
    </row>
    <row r="68" spans="15:40" ht="12.75">
      <c r="O68" s="736"/>
      <c r="AD68" s="736"/>
      <c r="AE68" s="736"/>
      <c r="AF68" s="736"/>
      <c r="AG68" s="736"/>
      <c r="AI68" s="736"/>
      <c r="AN68" s="736"/>
    </row>
    <row r="69" spans="15:40" ht="12.75">
      <c r="O69" s="736"/>
      <c r="AD69" s="736"/>
      <c r="AE69" s="736"/>
      <c r="AF69" s="736"/>
      <c r="AG69" s="736"/>
      <c r="AI69" s="736"/>
      <c r="AN69" s="736"/>
    </row>
    <row r="70" spans="15:40" ht="12.75">
      <c r="O70" s="736"/>
      <c r="AD70" s="736"/>
      <c r="AE70" s="736"/>
      <c r="AF70" s="736"/>
      <c r="AG70" s="736"/>
      <c r="AI70" s="736"/>
      <c r="AN70" s="736"/>
    </row>
    <row r="71" spans="15:40" ht="12.75">
      <c r="O71" s="736"/>
      <c r="AD71" s="736"/>
      <c r="AE71" s="736"/>
      <c r="AF71" s="736"/>
      <c r="AG71" s="736"/>
      <c r="AI71" s="891"/>
      <c r="AN71" s="736"/>
    </row>
    <row r="72" spans="15:40" ht="12.75">
      <c r="O72" s="736"/>
      <c r="AD72" s="736"/>
      <c r="AE72" s="736"/>
      <c r="AF72" s="736"/>
      <c r="AG72" s="736"/>
      <c r="AI72" s="886"/>
      <c r="AN72" s="736"/>
    </row>
    <row r="73" spans="15:40" ht="12.75">
      <c r="O73" s="736"/>
      <c r="AD73" s="736"/>
      <c r="AE73" s="736"/>
      <c r="AF73" s="736"/>
      <c r="AG73" s="736"/>
      <c r="AN73" s="736"/>
    </row>
    <row r="74" spans="15:40" ht="12.75">
      <c r="O74" s="736"/>
      <c r="AD74" s="736"/>
      <c r="AE74" s="736"/>
      <c r="AF74" s="736"/>
      <c r="AG74" s="736"/>
      <c r="AN74" s="736"/>
    </row>
    <row r="75" spans="15:40" ht="12.75">
      <c r="O75" s="736"/>
      <c r="AD75" s="736"/>
      <c r="AE75" s="736"/>
      <c r="AF75" s="736"/>
      <c r="AG75" s="736"/>
      <c r="AN75" s="736"/>
    </row>
    <row r="76" spans="15:40" ht="12.75">
      <c r="O76" s="736"/>
      <c r="AD76" s="736"/>
      <c r="AE76" s="736"/>
      <c r="AF76" s="736"/>
      <c r="AG76" s="736"/>
      <c r="AN76" s="736"/>
    </row>
    <row r="77" spans="15:40" ht="12.75">
      <c r="O77" s="736"/>
      <c r="AD77" s="736"/>
      <c r="AE77" s="736"/>
      <c r="AF77" s="736"/>
      <c r="AG77" s="736"/>
      <c r="AN77" s="736"/>
    </row>
    <row r="78" spans="8:33" ht="12.75">
      <c r="H78" s="736"/>
      <c r="O78" s="891"/>
      <c r="P78" s="736"/>
      <c r="Q78" s="736"/>
      <c r="R78" s="736"/>
      <c r="S78" s="736"/>
      <c r="T78" s="736"/>
      <c r="AA78" s="736"/>
      <c r="AC78" s="736"/>
      <c r="AG78" s="736"/>
    </row>
    <row r="79" spans="15:20" ht="12.75">
      <c r="O79" s="886"/>
      <c r="P79" s="736"/>
      <c r="Q79" s="736"/>
      <c r="R79" s="736"/>
      <c r="S79" s="736"/>
      <c r="T79" s="736"/>
    </row>
    <row r="80" spans="8:39" ht="12.75">
      <c r="H80" s="736"/>
      <c r="I80" s="736"/>
      <c r="J80" s="736"/>
      <c r="K80" s="736"/>
      <c r="O80" s="891"/>
      <c r="P80" s="736"/>
      <c r="Q80" s="736"/>
      <c r="R80" s="736"/>
      <c r="S80" s="736"/>
      <c r="T80" s="736"/>
      <c r="W80" s="736"/>
      <c r="X80" s="736"/>
      <c r="Y80" s="736"/>
      <c r="Z80" s="736"/>
      <c r="AE80" s="736"/>
      <c r="AF80" s="736"/>
      <c r="AI80" s="736"/>
      <c r="AJ80" s="736"/>
      <c r="AK80" s="736"/>
      <c r="AL80" s="736"/>
      <c r="AM80" s="736"/>
    </row>
    <row r="81" spans="10:39" ht="12.75">
      <c r="J81" s="769"/>
      <c r="K81" s="769"/>
      <c r="O81" s="886"/>
      <c r="AF81" s="736"/>
      <c r="AI81" s="736"/>
      <c r="AJ81" s="736"/>
      <c r="AK81" s="736"/>
      <c r="AL81" s="736"/>
      <c r="AM81" s="736"/>
    </row>
    <row r="82" spans="15:39" ht="12.75">
      <c r="O82" s="886"/>
      <c r="AF82" s="736"/>
      <c r="AI82" s="736"/>
      <c r="AJ82" s="736"/>
      <c r="AK82" s="736"/>
      <c r="AL82" s="736"/>
      <c r="AM82" s="736"/>
    </row>
    <row r="83" spans="15:39" ht="12.75">
      <c r="O83" s="886"/>
      <c r="AF83" s="736"/>
      <c r="AI83" s="736"/>
      <c r="AJ83" s="736"/>
      <c r="AK83" s="736"/>
      <c r="AL83" s="736"/>
      <c r="AM83" s="736"/>
    </row>
    <row r="84" spans="15:39" ht="12.75">
      <c r="O84" s="886"/>
      <c r="AC84" s="736"/>
      <c r="AE84" s="736"/>
      <c r="AI84" s="736"/>
      <c r="AJ84" s="736"/>
      <c r="AK84" s="736"/>
      <c r="AL84" s="736"/>
      <c r="AM84" s="736"/>
    </row>
    <row r="85" spans="15:31" ht="12.75">
      <c r="O85" s="886"/>
      <c r="AC85" s="736"/>
      <c r="AE85" s="736"/>
    </row>
    <row r="86" spans="15:31" ht="12.75">
      <c r="O86" s="736"/>
      <c r="AC86" s="736"/>
      <c r="AE86" s="736"/>
    </row>
    <row r="87" spans="15:33" ht="17.25">
      <c r="O87"/>
      <c r="AF87"/>
      <c r="AG87" s="694"/>
    </row>
    <row r="89" spans="1:44" ht="12.75">
      <c r="A89" s="697"/>
      <c r="B89" s="697"/>
      <c r="C89" s="697"/>
      <c r="D89" s="697"/>
      <c r="E89" s="697"/>
      <c r="F89" s="697"/>
      <c r="G89" s="697"/>
      <c r="H89" s="697"/>
      <c r="I89" s="697"/>
      <c r="J89" s="697"/>
      <c r="K89" s="697"/>
      <c r="L89" s="697"/>
      <c r="M89" s="697"/>
      <c r="N89" s="697"/>
      <c r="O89" s="697"/>
      <c r="P89" s="697"/>
      <c r="Q89" s="697"/>
      <c r="R89" s="697"/>
      <c r="S89" s="697"/>
      <c r="T89" s="697"/>
      <c r="U89" s="697"/>
      <c r="V89" s="697"/>
      <c r="W89" s="697"/>
      <c r="X89" s="697"/>
      <c r="Y89" s="697"/>
      <c r="Z89" s="697"/>
      <c r="AA89" s="697"/>
      <c r="AB89" s="697"/>
      <c r="AC89" s="697"/>
      <c r="AD89" s="965"/>
      <c r="AE89" s="697"/>
      <c r="AF89" s="965"/>
      <c r="AG89" s="965"/>
      <c r="AH89" s="697"/>
      <c r="AI89" s="697"/>
      <c r="AJ89" s="697"/>
      <c r="AK89" s="697"/>
      <c r="AL89" s="697"/>
      <c r="AM89" s="697"/>
      <c r="AN89" s="697"/>
      <c r="AO89" s="697"/>
      <c r="AP89" s="697"/>
      <c r="AQ89" s="697"/>
      <c r="AR89" s="697"/>
    </row>
    <row r="90" spans="1:44" ht="13.5">
      <c r="A90" s="966"/>
      <c r="B90" s="966"/>
      <c r="C90" s="966"/>
      <c r="D90" s="966"/>
      <c r="E90" s="966"/>
      <c r="F90" s="966"/>
      <c r="G90" s="966"/>
      <c r="H90" s="966"/>
      <c r="I90" s="966"/>
      <c r="J90" s="966"/>
      <c r="K90" s="966"/>
      <c r="L90" s="966"/>
      <c r="M90" s="966"/>
      <c r="N90" s="966"/>
      <c r="O90" s="697"/>
      <c r="P90" s="697"/>
      <c r="Q90" s="697"/>
      <c r="R90" s="697"/>
      <c r="S90" s="697"/>
      <c r="T90" s="697"/>
      <c r="U90" s="697"/>
      <c r="V90" s="697"/>
      <c r="W90" s="697"/>
      <c r="X90" s="697"/>
      <c r="Y90" s="697"/>
      <c r="Z90" s="697"/>
      <c r="AA90" s="697"/>
      <c r="AB90" s="697"/>
      <c r="AC90" s="697"/>
      <c r="AD90" s="697"/>
      <c r="AE90" s="697"/>
      <c r="AF90" s="818"/>
      <c r="AG90" s="697"/>
      <c r="AH90" s="697"/>
      <c r="AI90" s="697"/>
      <c r="AJ90" s="697"/>
      <c r="AK90" s="697"/>
      <c r="AL90" s="697"/>
      <c r="AM90" s="697"/>
      <c r="AN90" s="697"/>
      <c r="AO90" s="697"/>
      <c r="AP90" s="697"/>
      <c r="AQ90" s="697"/>
      <c r="AR90" s="697"/>
    </row>
    <row r="91" spans="1:44" ht="13.5">
      <c r="A91" s="818"/>
      <c r="B91" s="818"/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  <c r="U91" s="818"/>
      <c r="V91" s="818"/>
      <c r="W91" s="818"/>
      <c r="X91" s="818"/>
      <c r="Y91" s="818"/>
      <c r="Z91" s="818"/>
      <c r="AA91" s="818"/>
      <c r="AB91" s="818"/>
      <c r="AC91" s="818"/>
      <c r="AD91" s="818"/>
      <c r="AE91" s="818"/>
      <c r="AF91" s="818"/>
      <c r="AG91" s="818"/>
      <c r="AH91" s="697"/>
      <c r="AI91" s="697"/>
      <c r="AJ91" s="697"/>
      <c r="AK91" s="697"/>
      <c r="AL91" s="697"/>
      <c r="AM91" s="697"/>
      <c r="AN91" s="697"/>
      <c r="AO91" s="697"/>
      <c r="AP91" s="697"/>
      <c r="AQ91" s="697"/>
      <c r="AR91" s="697"/>
    </row>
    <row r="92" spans="1:44" ht="13.5">
      <c r="A92" s="967"/>
      <c r="B92" s="967"/>
      <c r="C92" s="967"/>
      <c r="D92" s="967"/>
      <c r="E92" s="967"/>
      <c r="F92" s="967"/>
      <c r="G92" s="967"/>
      <c r="H92" s="967"/>
      <c r="I92" s="967"/>
      <c r="J92" s="967"/>
      <c r="K92" s="967"/>
      <c r="L92" s="967"/>
      <c r="M92" s="967"/>
      <c r="N92" s="967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  <c r="AA92" s="818"/>
      <c r="AB92" s="818"/>
      <c r="AC92" s="818"/>
      <c r="AD92" s="697"/>
      <c r="AE92" s="818"/>
      <c r="AF92" s="818"/>
      <c r="AG92" s="818"/>
      <c r="AH92" s="697"/>
      <c r="AI92" s="697"/>
      <c r="AJ92" s="697"/>
      <c r="AK92" s="697"/>
      <c r="AL92" s="697"/>
      <c r="AM92" s="697"/>
      <c r="AN92" s="697"/>
      <c r="AO92" s="697"/>
      <c r="AP92" s="697"/>
      <c r="AQ92" s="697"/>
      <c r="AR92" s="697"/>
    </row>
    <row r="93" spans="1:44" ht="13.5">
      <c r="A93" s="967"/>
      <c r="B93" s="967"/>
      <c r="C93" s="967"/>
      <c r="D93" s="967"/>
      <c r="E93" s="967"/>
      <c r="F93" s="967"/>
      <c r="G93" s="967"/>
      <c r="H93" s="967"/>
      <c r="I93" s="967"/>
      <c r="J93" s="967"/>
      <c r="K93" s="967"/>
      <c r="L93" s="967"/>
      <c r="M93" s="967"/>
      <c r="N93" s="967"/>
      <c r="O93" s="697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8"/>
      <c r="AC93" s="818"/>
      <c r="AD93" s="697"/>
      <c r="AE93" s="697"/>
      <c r="AF93" s="818"/>
      <c r="AG93" s="697"/>
      <c r="AH93" s="697"/>
      <c r="AI93" s="697"/>
      <c r="AJ93" s="697"/>
      <c r="AK93" s="697"/>
      <c r="AL93" s="697"/>
      <c r="AM93" s="697"/>
      <c r="AN93" s="697"/>
      <c r="AO93" s="697"/>
      <c r="AP93" s="697"/>
      <c r="AQ93" s="697"/>
      <c r="AR93" s="697"/>
    </row>
    <row r="94" spans="1:44" ht="24" customHeight="1">
      <c r="A94" s="966"/>
      <c r="B94" s="966"/>
      <c r="C94" s="966"/>
      <c r="D94" s="966"/>
      <c r="E94" s="966"/>
      <c r="F94" s="966"/>
      <c r="G94" s="966"/>
      <c r="H94" s="966"/>
      <c r="I94" s="966"/>
      <c r="J94" s="966"/>
      <c r="K94" s="966"/>
      <c r="L94" s="966"/>
      <c r="M94" s="966"/>
      <c r="N94" s="966"/>
      <c r="O94" s="877"/>
      <c r="P94" s="877"/>
      <c r="Q94" s="877"/>
      <c r="R94" s="877"/>
      <c r="S94" s="877"/>
      <c r="T94" s="877"/>
      <c r="U94" s="877"/>
      <c r="V94" s="877"/>
      <c r="W94" s="877"/>
      <c r="X94" s="877"/>
      <c r="Y94" s="877"/>
      <c r="Z94" s="877"/>
      <c r="AA94" s="877"/>
      <c r="AB94" s="877"/>
      <c r="AC94" s="877"/>
      <c r="AD94" s="877"/>
      <c r="AE94" s="877"/>
      <c r="AF94" s="877"/>
      <c r="AG94" s="877"/>
      <c r="AH94" s="697"/>
      <c r="AI94" s="697"/>
      <c r="AJ94" s="697"/>
      <c r="AK94" s="697"/>
      <c r="AL94" s="697"/>
      <c r="AM94" s="697"/>
      <c r="AN94" s="697"/>
      <c r="AO94" s="697"/>
      <c r="AP94" s="697"/>
      <c r="AQ94" s="697"/>
      <c r="AR94" s="697"/>
    </row>
    <row r="95" spans="1:44" ht="24" customHeight="1">
      <c r="A95" s="968"/>
      <c r="B95" s="968"/>
      <c r="C95" s="968"/>
      <c r="D95" s="968"/>
      <c r="E95" s="968"/>
      <c r="F95" s="968"/>
      <c r="G95" s="968"/>
      <c r="H95" s="968"/>
      <c r="I95" s="968"/>
      <c r="J95" s="968"/>
      <c r="K95" s="968"/>
      <c r="L95" s="968"/>
      <c r="M95" s="968"/>
      <c r="N95" s="968"/>
      <c r="O95" s="877"/>
      <c r="P95" s="877"/>
      <c r="Q95" s="877"/>
      <c r="R95" s="877"/>
      <c r="S95" s="877"/>
      <c r="T95" s="877"/>
      <c r="U95" s="877"/>
      <c r="V95" s="877"/>
      <c r="W95" s="877"/>
      <c r="X95" s="877"/>
      <c r="Y95" s="877"/>
      <c r="Z95" s="877"/>
      <c r="AA95" s="877"/>
      <c r="AB95" s="877"/>
      <c r="AC95" s="877"/>
      <c r="AD95" s="877"/>
      <c r="AE95" s="877"/>
      <c r="AF95" s="877"/>
      <c r="AG95" s="877"/>
      <c r="AH95" s="697"/>
      <c r="AI95" s="697"/>
      <c r="AJ95" s="697"/>
      <c r="AK95" s="697"/>
      <c r="AL95" s="697"/>
      <c r="AM95" s="697"/>
      <c r="AN95" s="697"/>
      <c r="AO95" s="697"/>
      <c r="AP95" s="697"/>
      <c r="AQ95" s="697"/>
      <c r="AR95" s="697"/>
    </row>
    <row r="96" spans="1:44" ht="12.75">
      <c r="A96" s="697"/>
      <c r="B96" s="697"/>
      <c r="C96" s="697"/>
      <c r="D96" s="697"/>
      <c r="E96" s="697"/>
      <c r="F96" s="697"/>
      <c r="G96" s="697"/>
      <c r="H96" s="697"/>
      <c r="I96" s="697"/>
      <c r="J96" s="697"/>
      <c r="K96" s="697"/>
      <c r="L96" s="697"/>
      <c r="M96" s="697"/>
      <c r="N96" s="697"/>
      <c r="O96" s="741"/>
      <c r="P96" s="697"/>
      <c r="Q96" s="697"/>
      <c r="R96" s="697"/>
      <c r="S96" s="697"/>
      <c r="T96" s="697"/>
      <c r="U96" s="697"/>
      <c r="V96" s="697"/>
      <c r="W96" s="697"/>
      <c r="X96" s="697"/>
      <c r="Y96" s="697"/>
      <c r="Z96" s="697"/>
      <c r="AA96" s="697"/>
      <c r="AB96" s="697"/>
      <c r="AC96" s="697"/>
      <c r="AD96" s="697"/>
      <c r="AE96" s="697"/>
      <c r="AF96" s="697"/>
      <c r="AG96" s="697"/>
      <c r="AH96" s="697"/>
      <c r="AI96" s="697"/>
      <c r="AJ96" s="697"/>
      <c r="AK96" s="697"/>
      <c r="AL96" s="697"/>
      <c r="AM96" s="697"/>
      <c r="AN96" s="697"/>
      <c r="AO96" s="697"/>
      <c r="AP96" s="697"/>
      <c r="AQ96" s="697"/>
      <c r="AR96" s="697"/>
    </row>
    <row r="97" spans="1:44" ht="12.75">
      <c r="A97" s="697"/>
      <c r="B97" s="697"/>
      <c r="C97" s="697"/>
      <c r="D97" s="697"/>
      <c r="E97" s="697"/>
      <c r="F97" s="697"/>
      <c r="G97" s="697"/>
      <c r="H97" s="697"/>
      <c r="I97" s="697"/>
      <c r="J97" s="697"/>
      <c r="K97" s="697"/>
      <c r="L97" s="697"/>
      <c r="M97" s="697"/>
      <c r="N97" s="697"/>
      <c r="O97" s="741"/>
      <c r="P97" s="697"/>
      <c r="Q97" s="697"/>
      <c r="R97" s="697"/>
      <c r="S97" s="697"/>
      <c r="T97" s="697"/>
      <c r="U97" s="697"/>
      <c r="V97" s="697"/>
      <c r="W97" s="697"/>
      <c r="X97" s="697"/>
      <c r="Y97" s="697"/>
      <c r="Z97" s="697"/>
      <c r="AA97" s="697"/>
      <c r="AB97" s="697"/>
      <c r="AC97" s="697"/>
      <c r="AD97" s="697"/>
      <c r="AE97" s="697"/>
      <c r="AF97" s="697"/>
      <c r="AG97" s="697"/>
      <c r="AH97" s="697"/>
      <c r="AI97" s="697"/>
      <c r="AJ97" s="697"/>
      <c r="AK97" s="697"/>
      <c r="AL97" s="697"/>
      <c r="AM97" s="697"/>
      <c r="AN97" s="697"/>
      <c r="AO97" s="697"/>
      <c r="AP97" s="697"/>
      <c r="AQ97" s="697"/>
      <c r="AR97" s="697"/>
    </row>
    <row r="98" spans="1:44" ht="12.75">
      <c r="A98" s="697"/>
      <c r="B98" s="697"/>
      <c r="C98" s="697"/>
      <c r="D98" s="697"/>
      <c r="E98" s="697"/>
      <c r="F98" s="697"/>
      <c r="G98" s="697"/>
      <c r="H98" s="697"/>
      <c r="I98" s="697"/>
      <c r="J98" s="697"/>
      <c r="K98" s="697"/>
      <c r="L98" s="697"/>
      <c r="M98" s="697"/>
      <c r="N98" s="697"/>
      <c r="O98" s="741"/>
      <c r="P98" s="697"/>
      <c r="Q98" s="697"/>
      <c r="R98" s="697"/>
      <c r="S98" s="697"/>
      <c r="T98" s="697"/>
      <c r="U98" s="697"/>
      <c r="V98" s="697"/>
      <c r="W98" s="697"/>
      <c r="X98" s="697"/>
      <c r="Y98" s="697"/>
      <c r="Z98" s="697"/>
      <c r="AA98" s="697"/>
      <c r="AB98" s="697"/>
      <c r="AC98" s="697"/>
      <c r="AD98" s="697"/>
      <c r="AE98" s="697"/>
      <c r="AF98" s="697"/>
      <c r="AG98" s="697"/>
      <c r="AH98" s="697"/>
      <c r="AI98" s="697"/>
      <c r="AJ98" s="697"/>
      <c r="AK98" s="697"/>
      <c r="AL98" s="697"/>
      <c r="AM98" s="697"/>
      <c r="AN98" s="697"/>
      <c r="AO98" s="697"/>
      <c r="AP98" s="697"/>
      <c r="AQ98" s="697"/>
      <c r="AR98" s="697"/>
    </row>
    <row r="99" spans="1:44" ht="19.5" customHeight="1">
      <c r="A99" s="697"/>
      <c r="B99" s="697"/>
      <c r="C99" s="697"/>
      <c r="D99" s="697"/>
      <c r="E99" s="697"/>
      <c r="F99" s="697"/>
      <c r="G99" s="697"/>
      <c r="H99" s="697"/>
      <c r="I99" s="697"/>
      <c r="J99" s="697"/>
      <c r="K99" s="697"/>
      <c r="L99" s="697"/>
      <c r="M99" s="697"/>
      <c r="N99" s="697"/>
      <c r="O99" s="24"/>
      <c r="P99" s="697"/>
      <c r="Q99" s="697"/>
      <c r="R99" s="697"/>
      <c r="S99" s="697"/>
      <c r="T99" s="697"/>
      <c r="U99" s="697"/>
      <c r="V99" s="697"/>
      <c r="W99" s="697"/>
      <c r="X99" s="697"/>
      <c r="Y99" s="697"/>
      <c r="Z99" s="697"/>
      <c r="AA99" s="697"/>
      <c r="AB99" s="697"/>
      <c r="AC99" s="697"/>
      <c r="AD99" s="697"/>
      <c r="AE99" s="697"/>
      <c r="AF99" s="24"/>
      <c r="AG99" s="969"/>
      <c r="AH99" s="697"/>
      <c r="AI99" s="697"/>
      <c r="AJ99" s="697"/>
      <c r="AK99" s="697"/>
      <c r="AL99" s="697"/>
      <c r="AM99" s="697"/>
      <c r="AN99" s="697"/>
      <c r="AO99" s="697"/>
      <c r="AP99" s="697"/>
      <c r="AQ99" s="697"/>
      <c r="AR99" s="697"/>
    </row>
    <row r="100" spans="1:44" ht="19.5" customHeight="1">
      <c r="A100" s="697"/>
      <c r="B100" s="697"/>
      <c r="C100" s="697"/>
      <c r="D100" s="697"/>
      <c r="E100" s="697"/>
      <c r="F100" s="697"/>
      <c r="G100" s="697"/>
      <c r="H100" s="697"/>
      <c r="I100" s="697"/>
      <c r="J100" s="697"/>
      <c r="K100" s="697"/>
      <c r="L100" s="697"/>
      <c r="M100" s="697"/>
      <c r="N100" s="697"/>
      <c r="O100" s="697"/>
      <c r="P100" s="697"/>
      <c r="Q100" s="697"/>
      <c r="R100" s="697"/>
      <c r="S100" s="697"/>
      <c r="T100" s="697"/>
      <c r="U100" s="697"/>
      <c r="V100" s="697"/>
      <c r="W100" s="697"/>
      <c r="X100" s="697"/>
      <c r="Y100" s="697"/>
      <c r="Z100" s="697"/>
      <c r="AA100" s="697"/>
      <c r="AB100" s="697"/>
      <c r="AC100" s="697"/>
      <c r="AD100" s="697"/>
      <c r="AE100" s="697"/>
      <c r="AF100" s="697"/>
      <c r="AG100" s="697"/>
      <c r="AH100" s="697"/>
      <c r="AI100" s="697"/>
      <c r="AJ100" s="697"/>
      <c r="AK100" s="697"/>
      <c r="AL100" s="697"/>
      <c r="AM100" s="697"/>
      <c r="AN100" s="697"/>
      <c r="AO100" s="697"/>
      <c r="AP100" s="697"/>
      <c r="AQ100" s="697"/>
      <c r="AR100" s="697"/>
    </row>
    <row r="101" spans="1:44" ht="19.5" customHeight="1">
      <c r="A101" s="697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965"/>
      <c r="AE101" s="697"/>
      <c r="AF101" s="965"/>
      <c r="AG101" s="965"/>
      <c r="AH101" s="697"/>
      <c r="AI101" s="697"/>
      <c r="AJ101" s="697"/>
      <c r="AK101" s="697"/>
      <c r="AL101" s="697"/>
      <c r="AM101" s="697"/>
      <c r="AN101" s="697"/>
      <c r="AO101" s="697"/>
      <c r="AP101" s="697"/>
      <c r="AQ101" s="697"/>
      <c r="AR101" s="697"/>
    </row>
    <row r="102" spans="1:44" ht="19.5" customHeight="1">
      <c r="A102" s="966"/>
      <c r="B102" s="966"/>
      <c r="C102" s="966"/>
      <c r="D102" s="966"/>
      <c r="E102" s="966"/>
      <c r="F102" s="966"/>
      <c r="G102" s="966"/>
      <c r="H102" s="966"/>
      <c r="I102" s="966"/>
      <c r="J102" s="966"/>
      <c r="K102" s="966"/>
      <c r="L102" s="966"/>
      <c r="M102" s="966"/>
      <c r="N102" s="966"/>
      <c r="O102" s="697"/>
      <c r="P102" s="697"/>
      <c r="Q102" s="697"/>
      <c r="R102" s="697"/>
      <c r="S102" s="697"/>
      <c r="T102" s="697"/>
      <c r="U102" s="697"/>
      <c r="V102" s="697"/>
      <c r="W102" s="697"/>
      <c r="X102" s="697"/>
      <c r="Y102" s="697"/>
      <c r="Z102" s="697"/>
      <c r="AA102" s="697"/>
      <c r="AB102" s="697"/>
      <c r="AC102" s="697"/>
      <c r="AD102" s="697"/>
      <c r="AE102" s="697"/>
      <c r="AF102" s="818"/>
      <c r="AG102" s="697"/>
      <c r="AH102" s="697"/>
      <c r="AI102" s="697"/>
      <c r="AJ102" s="697"/>
      <c r="AK102" s="697"/>
      <c r="AL102" s="697"/>
      <c r="AM102" s="697"/>
      <c r="AN102" s="697"/>
      <c r="AO102" s="697"/>
      <c r="AP102" s="697"/>
      <c r="AQ102" s="697"/>
      <c r="AR102" s="697"/>
    </row>
    <row r="103" spans="1:44" ht="19.5" customHeight="1">
      <c r="A103" s="818"/>
      <c r="B103" s="818"/>
      <c r="C103" s="818"/>
      <c r="D103" s="818"/>
      <c r="E103" s="818"/>
      <c r="F103" s="818"/>
      <c r="G103" s="818"/>
      <c r="H103" s="818"/>
      <c r="I103" s="818"/>
      <c r="J103" s="818"/>
      <c r="K103" s="818"/>
      <c r="L103" s="818"/>
      <c r="M103" s="818"/>
      <c r="N103" s="818"/>
      <c r="O103" s="818"/>
      <c r="P103" s="818"/>
      <c r="Q103" s="818"/>
      <c r="R103" s="818"/>
      <c r="S103" s="818"/>
      <c r="T103" s="818"/>
      <c r="U103" s="818"/>
      <c r="V103" s="818"/>
      <c r="W103" s="818"/>
      <c r="X103" s="818"/>
      <c r="Y103" s="818"/>
      <c r="Z103" s="818"/>
      <c r="AA103" s="818"/>
      <c r="AB103" s="818"/>
      <c r="AC103" s="818"/>
      <c r="AD103" s="818"/>
      <c r="AE103" s="818"/>
      <c r="AF103" s="818"/>
      <c r="AG103" s="818"/>
      <c r="AH103" s="697"/>
      <c r="AI103" s="697"/>
      <c r="AJ103" s="697"/>
      <c r="AK103" s="697"/>
      <c r="AL103" s="697"/>
      <c r="AM103" s="697"/>
      <c r="AN103" s="697"/>
      <c r="AO103" s="697"/>
      <c r="AP103" s="697"/>
      <c r="AQ103" s="697"/>
      <c r="AR103" s="697"/>
    </row>
    <row r="104" spans="1:44" ht="19.5" customHeight="1">
      <c r="A104" s="967"/>
      <c r="B104" s="967"/>
      <c r="C104" s="967"/>
      <c r="D104" s="967"/>
      <c r="E104" s="967"/>
      <c r="F104" s="967"/>
      <c r="G104" s="967"/>
      <c r="H104" s="967"/>
      <c r="I104" s="967"/>
      <c r="J104" s="967"/>
      <c r="K104" s="967"/>
      <c r="L104" s="967"/>
      <c r="M104" s="967"/>
      <c r="N104" s="967"/>
      <c r="O104" s="818"/>
      <c r="P104" s="818"/>
      <c r="Q104" s="818"/>
      <c r="R104" s="818"/>
      <c r="S104" s="818"/>
      <c r="T104" s="818"/>
      <c r="U104" s="818"/>
      <c r="V104" s="818"/>
      <c r="W104" s="818"/>
      <c r="X104" s="818"/>
      <c r="Y104" s="818"/>
      <c r="Z104" s="818"/>
      <c r="AA104" s="818"/>
      <c r="AB104" s="818"/>
      <c r="AC104" s="818"/>
      <c r="AD104" s="697"/>
      <c r="AE104" s="818"/>
      <c r="AF104" s="818"/>
      <c r="AG104" s="818"/>
      <c r="AH104" s="697"/>
      <c r="AI104" s="697"/>
      <c r="AJ104" s="697"/>
      <c r="AK104" s="697"/>
      <c r="AL104" s="697"/>
      <c r="AM104" s="697"/>
      <c r="AN104" s="697"/>
      <c r="AO104" s="697"/>
      <c r="AP104" s="697"/>
      <c r="AQ104" s="697"/>
      <c r="AR104" s="697"/>
    </row>
    <row r="105" spans="1:44" ht="19.5" customHeight="1">
      <c r="A105" s="967"/>
      <c r="B105" s="967"/>
      <c r="C105" s="967"/>
      <c r="D105" s="967"/>
      <c r="E105" s="967"/>
      <c r="F105" s="967"/>
      <c r="G105" s="967"/>
      <c r="H105" s="967"/>
      <c r="I105" s="967"/>
      <c r="J105" s="967"/>
      <c r="K105" s="967"/>
      <c r="L105" s="967"/>
      <c r="M105" s="967"/>
      <c r="N105" s="967"/>
      <c r="O105" s="697"/>
      <c r="P105" s="818"/>
      <c r="Q105" s="818"/>
      <c r="R105" s="818"/>
      <c r="S105" s="818"/>
      <c r="T105" s="818"/>
      <c r="U105" s="818"/>
      <c r="V105" s="818"/>
      <c r="W105" s="818"/>
      <c r="X105" s="818"/>
      <c r="Y105" s="818"/>
      <c r="Z105" s="818"/>
      <c r="AA105" s="818"/>
      <c r="AB105" s="818"/>
      <c r="AC105" s="818"/>
      <c r="AD105" s="697"/>
      <c r="AE105" s="697"/>
      <c r="AF105" s="818"/>
      <c r="AG105" s="697"/>
      <c r="AH105" s="697"/>
      <c r="AI105" s="697"/>
      <c r="AJ105" s="697"/>
      <c r="AK105" s="697"/>
      <c r="AL105" s="697"/>
      <c r="AM105" s="697"/>
      <c r="AN105" s="697"/>
      <c r="AO105" s="697"/>
      <c r="AP105" s="697"/>
      <c r="AQ105" s="697"/>
      <c r="AR105" s="697"/>
    </row>
    <row r="106" spans="1:44" ht="19.5" customHeight="1">
      <c r="A106" s="966"/>
      <c r="B106" s="966"/>
      <c r="C106" s="966"/>
      <c r="D106" s="966"/>
      <c r="E106" s="966"/>
      <c r="F106" s="966"/>
      <c r="G106" s="966"/>
      <c r="H106" s="966"/>
      <c r="I106" s="966"/>
      <c r="J106" s="966"/>
      <c r="K106" s="966"/>
      <c r="L106" s="966"/>
      <c r="M106" s="966"/>
      <c r="N106" s="966"/>
      <c r="O106" s="877"/>
      <c r="P106" s="877"/>
      <c r="Q106" s="877"/>
      <c r="R106" s="877"/>
      <c r="S106" s="877"/>
      <c r="T106" s="877"/>
      <c r="U106" s="877"/>
      <c r="V106" s="877"/>
      <c r="W106" s="877"/>
      <c r="X106" s="877"/>
      <c r="Y106" s="877"/>
      <c r="Z106" s="877"/>
      <c r="AA106" s="877"/>
      <c r="AB106" s="877"/>
      <c r="AC106" s="877"/>
      <c r="AD106" s="877"/>
      <c r="AE106" s="877"/>
      <c r="AF106" s="877"/>
      <c r="AG106" s="877"/>
      <c r="AH106" s="697"/>
      <c r="AI106" s="697"/>
      <c r="AJ106" s="697"/>
      <c r="AK106" s="697"/>
      <c r="AL106" s="697"/>
      <c r="AM106" s="697"/>
      <c r="AN106" s="697"/>
      <c r="AO106" s="697"/>
      <c r="AP106" s="697"/>
      <c r="AQ106" s="697"/>
      <c r="AR106" s="697"/>
    </row>
    <row r="107" spans="1:44" ht="19.5" customHeight="1">
      <c r="A107" s="966"/>
      <c r="B107" s="966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877"/>
      <c r="P107" s="877"/>
      <c r="Q107" s="877"/>
      <c r="R107" s="877"/>
      <c r="S107" s="877"/>
      <c r="T107" s="877"/>
      <c r="U107" s="877"/>
      <c r="V107" s="877"/>
      <c r="W107" s="877"/>
      <c r="X107" s="877"/>
      <c r="Y107" s="877"/>
      <c r="Z107" s="877"/>
      <c r="AA107" s="877"/>
      <c r="AB107" s="877"/>
      <c r="AC107" s="877"/>
      <c r="AD107" s="877"/>
      <c r="AE107" s="877"/>
      <c r="AF107" s="877"/>
      <c r="AG107" s="877"/>
      <c r="AH107" s="697"/>
      <c r="AI107" s="697"/>
      <c r="AJ107" s="697"/>
      <c r="AK107" s="697"/>
      <c r="AL107" s="697"/>
      <c r="AM107" s="697"/>
      <c r="AN107" s="697"/>
      <c r="AO107" s="697"/>
      <c r="AP107" s="697"/>
      <c r="AQ107" s="697"/>
      <c r="AR107" s="697"/>
    </row>
    <row r="108" spans="1:44" ht="19.5" customHeight="1">
      <c r="A108" s="966"/>
      <c r="B108" s="966"/>
      <c r="C108" s="966"/>
      <c r="D108" s="966"/>
      <c r="E108" s="966"/>
      <c r="F108" s="966"/>
      <c r="G108" s="966"/>
      <c r="H108" s="966"/>
      <c r="I108" s="966"/>
      <c r="J108" s="966"/>
      <c r="K108" s="966"/>
      <c r="L108" s="966"/>
      <c r="M108" s="966"/>
      <c r="N108" s="966"/>
      <c r="O108" s="877"/>
      <c r="P108" s="877"/>
      <c r="Q108" s="877"/>
      <c r="R108" s="877"/>
      <c r="S108" s="877"/>
      <c r="T108" s="877"/>
      <c r="U108" s="877"/>
      <c r="V108" s="877"/>
      <c r="W108" s="877"/>
      <c r="X108" s="877"/>
      <c r="Y108" s="877"/>
      <c r="Z108" s="877"/>
      <c r="AA108" s="877"/>
      <c r="AB108" s="877"/>
      <c r="AC108" s="877"/>
      <c r="AD108" s="877"/>
      <c r="AE108" s="877"/>
      <c r="AF108" s="877"/>
      <c r="AG108" s="877"/>
      <c r="AH108" s="697"/>
      <c r="AI108" s="697"/>
      <c r="AJ108" s="697"/>
      <c r="AK108" s="697"/>
      <c r="AL108" s="697"/>
      <c r="AM108" s="697"/>
      <c r="AN108" s="697"/>
      <c r="AO108" s="697"/>
      <c r="AP108" s="697"/>
      <c r="AQ108" s="697"/>
      <c r="AR108" s="697"/>
    </row>
    <row r="109" spans="1:44" ht="19.5" customHeight="1">
      <c r="A109" s="966"/>
      <c r="B109" s="966"/>
      <c r="C109" s="966"/>
      <c r="D109" s="966"/>
      <c r="E109" s="966"/>
      <c r="F109" s="966"/>
      <c r="G109" s="966"/>
      <c r="H109" s="966"/>
      <c r="I109" s="966"/>
      <c r="J109" s="966"/>
      <c r="K109" s="966"/>
      <c r="L109" s="966"/>
      <c r="M109" s="966"/>
      <c r="N109" s="966"/>
      <c r="O109" s="877"/>
      <c r="P109" s="877"/>
      <c r="Q109" s="877"/>
      <c r="R109" s="877"/>
      <c r="S109" s="877"/>
      <c r="T109" s="877"/>
      <c r="U109" s="877"/>
      <c r="V109" s="877"/>
      <c r="W109" s="877"/>
      <c r="X109" s="877"/>
      <c r="Y109" s="877"/>
      <c r="Z109" s="877"/>
      <c r="AA109" s="877"/>
      <c r="AB109" s="877"/>
      <c r="AC109" s="877"/>
      <c r="AD109" s="877"/>
      <c r="AE109" s="877"/>
      <c r="AF109" s="877"/>
      <c r="AG109" s="877"/>
      <c r="AH109" s="697"/>
      <c r="AI109" s="697"/>
      <c r="AJ109" s="697"/>
      <c r="AK109" s="697"/>
      <c r="AL109" s="697"/>
      <c r="AM109" s="697"/>
      <c r="AN109" s="697"/>
      <c r="AO109" s="697"/>
      <c r="AP109" s="697"/>
      <c r="AQ109" s="697"/>
      <c r="AR109" s="697"/>
    </row>
    <row r="110" spans="1:44" ht="19.5" customHeight="1">
      <c r="A110" s="966"/>
      <c r="B110" s="966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877"/>
      <c r="P110" s="877"/>
      <c r="Q110" s="877"/>
      <c r="R110" s="877"/>
      <c r="S110" s="877"/>
      <c r="T110" s="877"/>
      <c r="U110" s="877"/>
      <c r="V110" s="877"/>
      <c r="W110" s="877"/>
      <c r="X110" s="877"/>
      <c r="Y110" s="877"/>
      <c r="Z110" s="877"/>
      <c r="AA110" s="877"/>
      <c r="AB110" s="877"/>
      <c r="AC110" s="877"/>
      <c r="AD110" s="877"/>
      <c r="AE110" s="877"/>
      <c r="AF110" s="877"/>
      <c r="AG110" s="877"/>
      <c r="AH110" s="697"/>
      <c r="AI110" s="697"/>
      <c r="AJ110" s="697"/>
      <c r="AK110" s="697"/>
      <c r="AL110" s="697"/>
      <c r="AM110" s="697"/>
      <c r="AN110" s="697"/>
      <c r="AO110" s="697"/>
      <c r="AP110" s="697"/>
      <c r="AQ110" s="697"/>
      <c r="AR110" s="697"/>
    </row>
    <row r="111" spans="1:44" ht="19.5" customHeight="1">
      <c r="A111" s="966"/>
      <c r="B111" s="966"/>
      <c r="C111" s="966"/>
      <c r="D111" s="966"/>
      <c r="E111" s="966"/>
      <c r="F111" s="966"/>
      <c r="G111" s="966"/>
      <c r="H111" s="966"/>
      <c r="I111" s="966"/>
      <c r="J111" s="966"/>
      <c r="K111" s="966"/>
      <c r="L111" s="966"/>
      <c r="M111" s="966"/>
      <c r="N111" s="966"/>
      <c r="O111" s="877"/>
      <c r="P111" s="877"/>
      <c r="Q111" s="877"/>
      <c r="R111" s="877"/>
      <c r="S111" s="877"/>
      <c r="T111" s="877"/>
      <c r="U111" s="877"/>
      <c r="V111" s="877"/>
      <c r="W111" s="877"/>
      <c r="X111" s="877"/>
      <c r="Y111" s="877"/>
      <c r="Z111" s="877"/>
      <c r="AA111" s="877"/>
      <c r="AB111" s="877"/>
      <c r="AC111" s="877"/>
      <c r="AD111" s="877"/>
      <c r="AE111" s="877"/>
      <c r="AF111" s="877"/>
      <c r="AG111" s="877"/>
      <c r="AH111" s="697"/>
      <c r="AI111" s="697"/>
      <c r="AJ111" s="697"/>
      <c r="AK111" s="697"/>
      <c r="AL111" s="697"/>
      <c r="AM111" s="697"/>
      <c r="AN111" s="697"/>
      <c r="AO111" s="697"/>
      <c r="AP111" s="697"/>
      <c r="AQ111" s="697"/>
      <c r="AR111" s="697"/>
    </row>
    <row r="112" spans="1:44" ht="19.5" customHeight="1">
      <c r="A112" s="966"/>
      <c r="B112" s="966"/>
      <c r="C112" s="966"/>
      <c r="D112" s="966"/>
      <c r="E112" s="966"/>
      <c r="F112" s="966"/>
      <c r="G112" s="966"/>
      <c r="H112" s="966"/>
      <c r="I112" s="966"/>
      <c r="J112" s="966"/>
      <c r="K112" s="966"/>
      <c r="L112" s="966"/>
      <c r="M112" s="966"/>
      <c r="N112" s="966"/>
      <c r="O112" s="877"/>
      <c r="P112" s="877"/>
      <c r="Q112" s="877"/>
      <c r="R112" s="877"/>
      <c r="S112" s="877"/>
      <c r="T112" s="877"/>
      <c r="U112" s="877"/>
      <c r="V112" s="877"/>
      <c r="W112" s="877"/>
      <c r="X112" s="877"/>
      <c r="Y112" s="877"/>
      <c r="Z112" s="877"/>
      <c r="AA112" s="877"/>
      <c r="AB112" s="877"/>
      <c r="AC112" s="877"/>
      <c r="AD112" s="877"/>
      <c r="AE112" s="877"/>
      <c r="AF112" s="877"/>
      <c r="AG112" s="877"/>
      <c r="AH112" s="697"/>
      <c r="AI112" s="697"/>
      <c r="AJ112" s="697"/>
      <c r="AK112" s="697"/>
      <c r="AL112" s="697"/>
      <c r="AM112" s="697"/>
      <c r="AN112" s="697"/>
      <c r="AO112" s="697"/>
      <c r="AP112" s="697"/>
      <c r="AQ112" s="697"/>
      <c r="AR112" s="697"/>
    </row>
    <row r="113" spans="1:44" ht="19.5" customHeight="1">
      <c r="A113" s="966"/>
      <c r="B113" s="966"/>
      <c r="C113" s="966"/>
      <c r="D113" s="966"/>
      <c r="E113" s="966"/>
      <c r="F113" s="966"/>
      <c r="G113" s="966"/>
      <c r="H113" s="966"/>
      <c r="I113" s="966"/>
      <c r="J113" s="966"/>
      <c r="K113" s="966"/>
      <c r="L113" s="966"/>
      <c r="M113" s="966"/>
      <c r="N113" s="966"/>
      <c r="O113" s="877"/>
      <c r="P113" s="877"/>
      <c r="Q113" s="877"/>
      <c r="R113" s="877"/>
      <c r="S113" s="877"/>
      <c r="T113" s="877"/>
      <c r="U113" s="877"/>
      <c r="V113" s="877"/>
      <c r="W113" s="877"/>
      <c r="X113" s="877"/>
      <c r="Y113" s="877"/>
      <c r="Z113" s="877"/>
      <c r="AA113" s="877"/>
      <c r="AB113" s="877"/>
      <c r="AC113" s="877"/>
      <c r="AD113" s="877"/>
      <c r="AE113" s="877"/>
      <c r="AF113" s="877"/>
      <c r="AG113" s="877"/>
      <c r="AH113" s="697"/>
      <c r="AI113" s="697"/>
      <c r="AJ113" s="697"/>
      <c r="AK113" s="697"/>
      <c r="AL113" s="697"/>
      <c r="AM113" s="697"/>
      <c r="AN113" s="697"/>
      <c r="AO113" s="697"/>
      <c r="AP113" s="697"/>
      <c r="AQ113" s="697"/>
      <c r="AR113" s="697"/>
    </row>
    <row r="114" spans="1:44" ht="19.5" customHeight="1">
      <c r="A114" s="966"/>
      <c r="B114" s="966"/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877"/>
      <c r="P114" s="877"/>
      <c r="Q114" s="877"/>
      <c r="R114" s="877"/>
      <c r="S114" s="877"/>
      <c r="T114" s="877"/>
      <c r="U114" s="877"/>
      <c r="V114" s="877"/>
      <c r="W114" s="877"/>
      <c r="X114" s="877"/>
      <c r="Y114" s="877"/>
      <c r="Z114" s="877"/>
      <c r="AA114" s="877"/>
      <c r="AB114" s="877"/>
      <c r="AC114" s="877"/>
      <c r="AD114" s="877"/>
      <c r="AE114" s="877"/>
      <c r="AF114" s="877"/>
      <c r="AG114" s="877"/>
      <c r="AH114" s="697"/>
      <c r="AI114" s="697"/>
      <c r="AJ114" s="697"/>
      <c r="AK114" s="697"/>
      <c r="AL114" s="697"/>
      <c r="AM114" s="697"/>
      <c r="AN114" s="697"/>
      <c r="AO114" s="697"/>
      <c r="AP114" s="697"/>
      <c r="AQ114" s="697"/>
      <c r="AR114" s="697"/>
    </row>
    <row r="115" spans="1:44" ht="19.5" customHeight="1">
      <c r="A115" s="966"/>
      <c r="B115" s="966"/>
      <c r="C115" s="966"/>
      <c r="D115" s="966"/>
      <c r="E115" s="966"/>
      <c r="F115" s="966"/>
      <c r="G115" s="966"/>
      <c r="H115" s="966"/>
      <c r="I115" s="966"/>
      <c r="J115" s="966"/>
      <c r="K115" s="966"/>
      <c r="L115" s="966"/>
      <c r="M115" s="966"/>
      <c r="N115" s="966"/>
      <c r="O115" s="877"/>
      <c r="P115" s="877"/>
      <c r="Q115" s="877"/>
      <c r="R115" s="877"/>
      <c r="S115" s="877"/>
      <c r="T115" s="877"/>
      <c r="U115" s="877"/>
      <c r="V115" s="877"/>
      <c r="W115" s="877"/>
      <c r="X115" s="877"/>
      <c r="Y115" s="877"/>
      <c r="Z115" s="877"/>
      <c r="AA115" s="877"/>
      <c r="AB115" s="877"/>
      <c r="AC115" s="877"/>
      <c r="AD115" s="877"/>
      <c r="AE115" s="877"/>
      <c r="AF115" s="877"/>
      <c r="AG115" s="877"/>
      <c r="AH115" s="697"/>
      <c r="AI115" s="697"/>
      <c r="AJ115" s="697"/>
      <c r="AK115" s="697"/>
      <c r="AL115" s="697"/>
      <c r="AM115" s="697"/>
      <c r="AN115" s="697"/>
      <c r="AO115" s="697"/>
      <c r="AP115" s="697"/>
      <c r="AQ115" s="697"/>
      <c r="AR115" s="697"/>
    </row>
    <row r="116" spans="1:44" ht="19.5" customHeight="1">
      <c r="A116" s="966"/>
      <c r="B116" s="966"/>
      <c r="C116" s="966"/>
      <c r="D116" s="966"/>
      <c r="E116" s="966"/>
      <c r="F116" s="966"/>
      <c r="G116" s="966"/>
      <c r="H116" s="966"/>
      <c r="I116" s="966"/>
      <c r="J116" s="966"/>
      <c r="K116" s="966"/>
      <c r="L116" s="966"/>
      <c r="M116" s="966"/>
      <c r="N116" s="966"/>
      <c r="O116" s="877"/>
      <c r="P116" s="877"/>
      <c r="Q116" s="877"/>
      <c r="R116" s="877"/>
      <c r="S116" s="877"/>
      <c r="T116" s="877"/>
      <c r="U116" s="877"/>
      <c r="V116" s="877"/>
      <c r="W116" s="877"/>
      <c r="X116" s="877"/>
      <c r="Y116" s="877"/>
      <c r="Z116" s="877"/>
      <c r="AA116" s="877"/>
      <c r="AB116" s="877"/>
      <c r="AC116" s="877"/>
      <c r="AD116" s="877"/>
      <c r="AE116" s="877"/>
      <c r="AF116" s="877"/>
      <c r="AG116" s="877"/>
      <c r="AH116" s="697"/>
      <c r="AI116" s="697"/>
      <c r="AJ116" s="697"/>
      <c r="AK116" s="697"/>
      <c r="AL116" s="697"/>
      <c r="AM116" s="697"/>
      <c r="AN116" s="697"/>
      <c r="AO116" s="697"/>
      <c r="AP116" s="697"/>
      <c r="AQ116" s="697"/>
      <c r="AR116" s="697"/>
    </row>
    <row r="117" spans="1:44" ht="19.5" customHeight="1" hidden="1">
      <c r="A117" s="966"/>
      <c r="B117" s="966"/>
      <c r="C117" s="966"/>
      <c r="D117" s="966"/>
      <c r="E117" s="966"/>
      <c r="F117" s="966"/>
      <c r="G117" s="966"/>
      <c r="H117" s="966"/>
      <c r="I117" s="966"/>
      <c r="J117" s="966"/>
      <c r="K117" s="966"/>
      <c r="L117" s="966"/>
      <c r="M117" s="966"/>
      <c r="N117" s="966"/>
      <c r="O117" s="877"/>
      <c r="P117" s="877"/>
      <c r="Q117" s="877"/>
      <c r="R117" s="877"/>
      <c r="S117" s="877"/>
      <c r="T117" s="877"/>
      <c r="U117" s="877"/>
      <c r="V117" s="877"/>
      <c r="W117" s="877"/>
      <c r="X117" s="877"/>
      <c r="Y117" s="877"/>
      <c r="Z117" s="877"/>
      <c r="AA117" s="877"/>
      <c r="AB117" s="877"/>
      <c r="AC117" s="877"/>
      <c r="AD117" s="877"/>
      <c r="AE117" s="877"/>
      <c r="AF117" s="877"/>
      <c r="AG117" s="877"/>
      <c r="AH117" s="697"/>
      <c r="AI117" s="697"/>
      <c r="AJ117" s="697"/>
      <c r="AK117" s="697"/>
      <c r="AL117" s="697"/>
      <c r="AM117" s="697"/>
      <c r="AN117" s="697"/>
      <c r="AO117" s="697"/>
      <c r="AP117" s="697"/>
      <c r="AQ117" s="697"/>
      <c r="AR117" s="697"/>
    </row>
    <row r="118" spans="1:44" ht="19.5" customHeight="1" hidden="1">
      <c r="A118" s="966"/>
      <c r="B118" s="966"/>
      <c r="C118" s="966"/>
      <c r="D118" s="966"/>
      <c r="E118" s="966"/>
      <c r="F118" s="966"/>
      <c r="G118" s="966"/>
      <c r="H118" s="966"/>
      <c r="I118" s="966"/>
      <c r="J118" s="966"/>
      <c r="K118" s="966"/>
      <c r="L118" s="966"/>
      <c r="M118" s="966"/>
      <c r="N118" s="966"/>
      <c r="O118" s="877"/>
      <c r="P118" s="877"/>
      <c r="Q118" s="877"/>
      <c r="R118" s="877"/>
      <c r="S118" s="877"/>
      <c r="T118" s="877"/>
      <c r="U118" s="877"/>
      <c r="V118" s="877"/>
      <c r="W118" s="877"/>
      <c r="X118" s="877"/>
      <c r="Y118" s="877"/>
      <c r="Z118" s="877"/>
      <c r="AA118" s="877"/>
      <c r="AB118" s="877"/>
      <c r="AC118" s="877"/>
      <c r="AD118" s="877"/>
      <c r="AE118" s="877"/>
      <c r="AF118" s="877"/>
      <c r="AG118" s="877"/>
      <c r="AH118" s="697"/>
      <c r="AI118" s="697"/>
      <c r="AJ118" s="697"/>
      <c r="AK118" s="697"/>
      <c r="AL118" s="697"/>
      <c r="AM118" s="697"/>
      <c r="AN118" s="697"/>
      <c r="AO118" s="697"/>
      <c r="AP118" s="697"/>
      <c r="AQ118" s="697"/>
      <c r="AR118" s="697"/>
    </row>
    <row r="119" spans="1:44" ht="19.5" customHeight="1">
      <c r="A119" s="966"/>
      <c r="B119" s="966"/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877"/>
      <c r="P119" s="877"/>
      <c r="Q119" s="877"/>
      <c r="R119" s="877"/>
      <c r="S119" s="877"/>
      <c r="T119" s="877"/>
      <c r="U119" s="877"/>
      <c r="V119" s="877"/>
      <c r="W119" s="877"/>
      <c r="X119" s="877"/>
      <c r="Y119" s="877"/>
      <c r="Z119" s="877"/>
      <c r="AA119" s="877"/>
      <c r="AB119" s="877"/>
      <c r="AC119" s="877"/>
      <c r="AD119" s="877"/>
      <c r="AE119" s="877"/>
      <c r="AF119" s="877"/>
      <c r="AG119" s="877"/>
      <c r="AH119" s="697"/>
      <c r="AI119" s="697"/>
      <c r="AJ119" s="697"/>
      <c r="AK119" s="697"/>
      <c r="AL119" s="697"/>
      <c r="AM119" s="697"/>
      <c r="AN119" s="697"/>
      <c r="AO119" s="697"/>
      <c r="AP119" s="697"/>
      <c r="AQ119" s="697"/>
      <c r="AR119" s="697"/>
    </row>
    <row r="120" spans="1:44" ht="19.5" customHeight="1">
      <c r="A120" s="966"/>
      <c r="B120" s="966"/>
      <c r="C120" s="966"/>
      <c r="D120" s="966"/>
      <c r="E120" s="966"/>
      <c r="F120" s="966"/>
      <c r="G120" s="966"/>
      <c r="H120" s="966"/>
      <c r="I120" s="966"/>
      <c r="J120" s="966"/>
      <c r="K120" s="966"/>
      <c r="L120" s="966"/>
      <c r="M120" s="966"/>
      <c r="N120" s="966"/>
      <c r="O120" s="877"/>
      <c r="P120" s="877"/>
      <c r="Q120" s="877"/>
      <c r="R120" s="877"/>
      <c r="S120" s="877"/>
      <c r="T120" s="877"/>
      <c r="U120" s="877"/>
      <c r="V120" s="877"/>
      <c r="W120" s="877"/>
      <c r="X120" s="877"/>
      <c r="Y120" s="877"/>
      <c r="Z120" s="877"/>
      <c r="AA120" s="877"/>
      <c r="AB120" s="877"/>
      <c r="AC120" s="877"/>
      <c r="AD120" s="877"/>
      <c r="AE120" s="877"/>
      <c r="AF120" s="877"/>
      <c r="AG120" s="877"/>
      <c r="AH120" s="697"/>
      <c r="AI120" s="697"/>
      <c r="AJ120" s="697"/>
      <c r="AK120" s="697"/>
      <c r="AL120" s="697"/>
      <c r="AM120" s="697"/>
      <c r="AN120" s="697"/>
      <c r="AO120" s="697"/>
      <c r="AP120" s="697"/>
      <c r="AQ120" s="697"/>
      <c r="AR120" s="697"/>
    </row>
    <row r="121" spans="1:44" ht="19.5" customHeight="1">
      <c r="A121" s="763"/>
      <c r="B121" s="763"/>
      <c r="C121" s="763"/>
      <c r="D121" s="763"/>
      <c r="E121" s="763"/>
      <c r="F121" s="763"/>
      <c r="G121" s="763"/>
      <c r="H121" s="763"/>
      <c r="I121" s="763"/>
      <c r="J121" s="763"/>
      <c r="K121" s="763"/>
      <c r="L121" s="763"/>
      <c r="M121" s="763"/>
      <c r="N121" s="763"/>
      <c r="O121" s="877"/>
      <c r="P121" s="877"/>
      <c r="Q121" s="877"/>
      <c r="R121" s="877"/>
      <c r="S121" s="877"/>
      <c r="T121" s="877"/>
      <c r="U121" s="877"/>
      <c r="V121" s="877"/>
      <c r="W121" s="877"/>
      <c r="X121" s="877"/>
      <c r="Y121" s="877"/>
      <c r="Z121" s="877"/>
      <c r="AA121" s="877"/>
      <c r="AB121" s="877"/>
      <c r="AC121" s="877"/>
      <c r="AD121" s="877"/>
      <c r="AE121" s="877"/>
      <c r="AF121" s="877"/>
      <c r="AG121" s="877"/>
      <c r="AH121" s="697"/>
      <c r="AI121" s="697"/>
      <c r="AJ121" s="697"/>
      <c r="AK121" s="697"/>
      <c r="AL121" s="697"/>
      <c r="AM121" s="697"/>
      <c r="AN121" s="697"/>
      <c r="AO121" s="697"/>
      <c r="AP121" s="697"/>
      <c r="AQ121" s="697"/>
      <c r="AR121" s="697"/>
    </row>
    <row r="122" spans="1:44" ht="13.5">
      <c r="A122" s="966"/>
      <c r="B122" s="966"/>
      <c r="C122" s="966"/>
      <c r="D122" s="966"/>
      <c r="E122" s="966"/>
      <c r="F122" s="966"/>
      <c r="G122" s="966"/>
      <c r="H122" s="966"/>
      <c r="I122" s="966"/>
      <c r="J122" s="966"/>
      <c r="K122" s="966"/>
      <c r="L122" s="966"/>
      <c r="M122" s="966"/>
      <c r="N122" s="966"/>
      <c r="O122" s="877"/>
      <c r="P122" s="877"/>
      <c r="Q122" s="877"/>
      <c r="R122" s="877"/>
      <c r="S122" s="877"/>
      <c r="T122" s="877"/>
      <c r="U122" s="877"/>
      <c r="V122" s="877"/>
      <c r="W122" s="877"/>
      <c r="X122" s="877"/>
      <c r="Y122" s="877"/>
      <c r="Z122" s="877"/>
      <c r="AA122" s="877"/>
      <c r="AB122" s="877"/>
      <c r="AC122" s="877"/>
      <c r="AD122" s="877"/>
      <c r="AE122" s="877"/>
      <c r="AF122" s="877"/>
      <c r="AG122" s="877"/>
      <c r="AH122" s="697"/>
      <c r="AI122" s="697"/>
      <c r="AJ122" s="697"/>
      <c r="AK122" s="697"/>
      <c r="AL122" s="697"/>
      <c r="AM122" s="697"/>
      <c r="AN122" s="697"/>
      <c r="AO122" s="697"/>
      <c r="AP122" s="697"/>
      <c r="AQ122" s="697"/>
      <c r="AR122" s="697"/>
    </row>
    <row r="123" spans="1:44" ht="13.5">
      <c r="A123" s="966"/>
      <c r="B123" s="966"/>
      <c r="C123" s="966"/>
      <c r="D123" s="966"/>
      <c r="E123" s="966"/>
      <c r="F123" s="966"/>
      <c r="G123" s="966"/>
      <c r="H123" s="966"/>
      <c r="I123" s="966"/>
      <c r="J123" s="966"/>
      <c r="K123" s="966"/>
      <c r="L123" s="966"/>
      <c r="M123" s="966"/>
      <c r="N123" s="966"/>
      <c r="O123" s="877"/>
      <c r="P123" s="877"/>
      <c r="Q123" s="877"/>
      <c r="R123" s="877"/>
      <c r="S123" s="877"/>
      <c r="T123" s="877"/>
      <c r="U123" s="877"/>
      <c r="V123" s="877"/>
      <c r="W123" s="877"/>
      <c r="X123" s="877"/>
      <c r="Y123" s="877"/>
      <c r="Z123" s="877"/>
      <c r="AA123" s="877"/>
      <c r="AB123" s="877"/>
      <c r="AC123" s="877"/>
      <c r="AD123" s="877"/>
      <c r="AE123" s="877"/>
      <c r="AF123" s="877"/>
      <c r="AG123" s="877"/>
      <c r="AH123" s="697"/>
      <c r="AI123" s="697"/>
      <c r="AJ123" s="697"/>
      <c r="AK123" s="697"/>
      <c r="AL123" s="697"/>
      <c r="AM123" s="697"/>
      <c r="AN123" s="697"/>
      <c r="AO123" s="697"/>
      <c r="AP123" s="697"/>
      <c r="AQ123" s="697"/>
      <c r="AR123" s="697"/>
    </row>
    <row r="124" spans="1:44" ht="13.5">
      <c r="A124" s="966"/>
      <c r="B124" s="966"/>
      <c r="C124" s="966"/>
      <c r="D124" s="966"/>
      <c r="E124" s="966"/>
      <c r="F124" s="966"/>
      <c r="G124" s="966"/>
      <c r="H124" s="966"/>
      <c r="I124" s="966"/>
      <c r="J124" s="966"/>
      <c r="K124" s="966"/>
      <c r="L124" s="966"/>
      <c r="M124" s="966"/>
      <c r="N124" s="966"/>
      <c r="O124" s="877"/>
      <c r="P124" s="877"/>
      <c r="Q124" s="877"/>
      <c r="R124" s="877"/>
      <c r="S124" s="877"/>
      <c r="T124" s="877"/>
      <c r="U124" s="877"/>
      <c r="V124" s="877"/>
      <c r="W124" s="877"/>
      <c r="X124" s="877"/>
      <c r="Y124" s="877"/>
      <c r="Z124" s="877"/>
      <c r="AA124" s="877"/>
      <c r="AB124" s="877"/>
      <c r="AC124" s="877"/>
      <c r="AD124" s="877"/>
      <c r="AE124" s="877"/>
      <c r="AF124" s="877"/>
      <c r="AG124" s="877"/>
      <c r="AH124" s="697"/>
      <c r="AI124" s="697"/>
      <c r="AJ124" s="697"/>
      <c r="AK124" s="697"/>
      <c r="AL124" s="697"/>
      <c r="AM124" s="697"/>
      <c r="AN124" s="697"/>
      <c r="AO124" s="697"/>
      <c r="AP124" s="697"/>
      <c r="AQ124" s="697"/>
      <c r="AR124" s="697"/>
    </row>
    <row r="125" spans="1:44" ht="13.5">
      <c r="A125" s="966"/>
      <c r="B125" s="966"/>
      <c r="C125" s="966"/>
      <c r="D125" s="966"/>
      <c r="E125" s="966"/>
      <c r="F125" s="966"/>
      <c r="G125" s="966"/>
      <c r="H125" s="966"/>
      <c r="I125" s="966"/>
      <c r="J125" s="966"/>
      <c r="K125" s="966"/>
      <c r="L125" s="966"/>
      <c r="M125" s="966"/>
      <c r="N125" s="966"/>
      <c r="O125" s="877"/>
      <c r="P125" s="877"/>
      <c r="Q125" s="877"/>
      <c r="R125" s="877"/>
      <c r="S125" s="877"/>
      <c r="T125" s="877"/>
      <c r="U125" s="877"/>
      <c r="V125" s="877"/>
      <c r="W125" s="877"/>
      <c r="X125" s="877"/>
      <c r="Y125" s="877"/>
      <c r="Z125" s="877"/>
      <c r="AA125" s="877"/>
      <c r="AB125" s="877"/>
      <c r="AC125" s="877"/>
      <c r="AD125" s="877"/>
      <c r="AE125" s="877"/>
      <c r="AF125" s="877"/>
      <c r="AG125" s="877"/>
      <c r="AH125" s="697"/>
      <c r="AI125" s="697"/>
      <c r="AJ125" s="697"/>
      <c r="AK125" s="697"/>
      <c r="AL125" s="697"/>
      <c r="AM125" s="697"/>
      <c r="AN125" s="697"/>
      <c r="AO125" s="697"/>
      <c r="AP125" s="697"/>
      <c r="AQ125" s="697"/>
      <c r="AR125" s="697"/>
    </row>
    <row r="126" spans="1:44" ht="13.5">
      <c r="A126" s="966"/>
      <c r="B126" s="966"/>
      <c r="C126" s="966"/>
      <c r="D126" s="966"/>
      <c r="E126" s="966"/>
      <c r="F126" s="966"/>
      <c r="G126" s="966"/>
      <c r="H126" s="966"/>
      <c r="I126" s="966"/>
      <c r="J126" s="966"/>
      <c r="K126" s="966"/>
      <c r="L126" s="966"/>
      <c r="M126" s="966"/>
      <c r="N126" s="966"/>
      <c r="O126" s="877"/>
      <c r="P126" s="877"/>
      <c r="Q126" s="877"/>
      <c r="R126" s="877"/>
      <c r="S126" s="877"/>
      <c r="T126" s="877"/>
      <c r="U126" s="877"/>
      <c r="V126" s="877"/>
      <c r="W126" s="877"/>
      <c r="X126" s="877"/>
      <c r="Y126" s="877"/>
      <c r="Z126" s="877"/>
      <c r="AA126" s="877"/>
      <c r="AB126" s="877"/>
      <c r="AC126" s="877"/>
      <c r="AD126" s="877"/>
      <c r="AE126" s="877"/>
      <c r="AF126" s="877"/>
      <c r="AG126" s="877"/>
      <c r="AH126" s="697"/>
      <c r="AI126" s="697"/>
      <c r="AJ126" s="697"/>
      <c r="AK126" s="697"/>
      <c r="AL126" s="697"/>
      <c r="AM126" s="697"/>
      <c r="AN126" s="697"/>
      <c r="AO126" s="697"/>
      <c r="AP126" s="697"/>
      <c r="AQ126" s="697"/>
      <c r="AR126" s="697"/>
    </row>
    <row r="127" spans="1:44" ht="13.5">
      <c r="A127" s="966"/>
      <c r="B127" s="966"/>
      <c r="C127" s="966"/>
      <c r="D127" s="966"/>
      <c r="E127" s="966"/>
      <c r="F127" s="966"/>
      <c r="G127" s="966"/>
      <c r="H127" s="966"/>
      <c r="I127" s="966"/>
      <c r="J127" s="966"/>
      <c r="K127" s="966"/>
      <c r="L127" s="966"/>
      <c r="M127" s="966"/>
      <c r="N127" s="966"/>
      <c r="O127" s="877"/>
      <c r="P127" s="877"/>
      <c r="Q127" s="877"/>
      <c r="R127" s="877"/>
      <c r="S127" s="877"/>
      <c r="T127" s="877"/>
      <c r="U127" s="877"/>
      <c r="V127" s="877"/>
      <c r="W127" s="877"/>
      <c r="X127" s="877"/>
      <c r="Y127" s="877"/>
      <c r="Z127" s="877"/>
      <c r="AA127" s="877"/>
      <c r="AB127" s="877"/>
      <c r="AC127" s="877"/>
      <c r="AD127" s="877"/>
      <c r="AE127" s="877"/>
      <c r="AF127" s="877"/>
      <c r="AG127" s="877"/>
      <c r="AH127" s="697"/>
      <c r="AI127" s="697"/>
      <c r="AJ127" s="697"/>
      <c r="AK127" s="697"/>
      <c r="AL127" s="697"/>
      <c r="AM127" s="697"/>
      <c r="AN127" s="697"/>
      <c r="AO127" s="697"/>
      <c r="AP127" s="697"/>
      <c r="AQ127" s="697"/>
      <c r="AR127" s="697"/>
    </row>
    <row r="128" spans="1:44" ht="13.5">
      <c r="A128" s="763"/>
      <c r="B128" s="763"/>
      <c r="C128" s="763"/>
      <c r="D128" s="763"/>
      <c r="E128" s="763"/>
      <c r="F128" s="763"/>
      <c r="G128" s="763"/>
      <c r="H128" s="763"/>
      <c r="I128" s="763"/>
      <c r="J128" s="763"/>
      <c r="K128" s="763"/>
      <c r="L128" s="763"/>
      <c r="M128" s="763"/>
      <c r="N128" s="763"/>
      <c r="O128" s="877"/>
      <c r="P128" s="877"/>
      <c r="Q128" s="877"/>
      <c r="R128" s="877"/>
      <c r="S128" s="877"/>
      <c r="T128" s="877"/>
      <c r="U128" s="877"/>
      <c r="V128" s="877"/>
      <c r="W128" s="877"/>
      <c r="X128" s="877"/>
      <c r="Y128" s="877"/>
      <c r="Z128" s="877"/>
      <c r="AA128" s="877"/>
      <c r="AB128" s="877"/>
      <c r="AC128" s="877"/>
      <c r="AD128" s="877"/>
      <c r="AE128" s="877"/>
      <c r="AF128" s="877"/>
      <c r="AG128" s="877"/>
      <c r="AH128" s="697"/>
      <c r="AI128" s="697"/>
      <c r="AJ128" s="697"/>
      <c r="AK128" s="697"/>
      <c r="AL128" s="697"/>
      <c r="AM128" s="697"/>
      <c r="AN128" s="697"/>
      <c r="AO128" s="697"/>
      <c r="AP128" s="697"/>
      <c r="AQ128" s="697"/>
      <c r="AR128" s="697"/>
    </row>
    <row r="129" spans="1:44" ht="13.5">
      <c r="A129" s="763"/>
      <c r="B129" s="763"/>
      <c r="C129" s="763"/>
      <c r="D129" s="763"/>
      <c r="E129" s="763"/>
      <c r="F129" s="763"/>
      <c r="G129" s="763"/>
      <c r="H129" s="763"/>
      <c r="I129" s="763"/>
      <c r="J129" s="763"/>
      <c r="K129" s="763"/>
      <c r="L129" s="763"/>
      <c r="M129" s="763"/>
      <c r="N129" s="763"/>
      <c r="O129" s="877"/>
      <c r="P129" s="877"/>
      <c r="Q129" s="877"/>
      <c r="R129" s="877"/>
      <c r="S129" s="877"/>
      <c r="T129" s="877"/>
      <c r="U129" s="877"/>
      <c r="V129" s="877"/>
      <c r="W129" s="877"/>
      <c r="X129" s="877"/>
      <c r="Y129" s="877"/>
      <c r="Z129" s="877"/>
      <c r="AA129" s="877"/>
      <c r="AB129" s="877"/>
      <c r="AC129" s="877"/>
      <c r="AD129" s="877"/>
      <c r="AE129" s="877"/>
      <c r="AF129" s="877"/>
      <c r="AG129" s="877"/>
      <c r="AH129" s="697"/>
      <c r="AI129" s="697"/>
      <c r="AJ129" s="697"/>
      <c r="AK129" s="697"/>
      <c r="AL129" s="697"/>
      <c r="AM129" s="697"/>
      <c r="AN129" s="697"/>
      <c r="AO129" s="697"/>
      <c r="AP129" s="697"/>
      <c r="AQ129" s="697"/>
      <c r="AR129" s="697"/>
    </row>
    <row r="130" spans="1:44" ht="13.5">
      <c r="A130" s="970"/>
      <c r="B130" s="970"/>
      <c r="C130" s="970"/>
      <c r="D130" s="970"/>
      <c r="E130" s="970"/>
      <c r="F130" s="970"/>
      <c r="G130" s="970"/>
      <c r="H130" s="970"/>
      <c r="I130" s="970"/>
      <c r="J130" s="970"/>
      <c r="K130" s="970"/>
      <c r="L130" s="970"/>
      <c r="M130" s="970"/>
      <c r="N130" s="970"/>
      <c r="O130" s="877"/>
      <c r="P130" s="877"/>
      <c r="Q130" s="877"/>
      <c r="R130" s="877"/>
      <c r="S130" s="877"/>
      <c r="T130" s="877"/>
      <c r="U130" s="877"/>
      <c r="V130" s="877"/>
      <c r="W130" s="877"/>
      <c r="X130" s="877"/>
      <c r="Y130" s="877"/>
      <c r="Z130" s="877"/>
      <c r="AA130" s="877"/>
      <c r="AB130" s="877"/>
      <c r="AC130" s="877"/>
      <c r="AD130" s="877"/>
      <c r="AE130" s="877"/>
      <c r="AF130" s="877"/>
      <c r="AG130" s="877"/>
      <c r="AH130" s="697"/>
      <c r="AI130" s="697"/>
      <c r="AJ130" s="697"/>
      <c r="AK130" s="697"/>
      <c r="AL130" s="697"/>
      <c r="AM130" s="697"/>
      <c r="AN130" s="697"/>
      <c r="AO130" s="697"/>
      <c r="AP130" s="697"/>
      <c r="AQ130" s="697"/>
      <c r="AR130" s="697"/>
    </row>
    <row r="131" spans="1:44" ht="13.5">
      <c r="A131" s="970"/>
      <c r="B131" s="970"/>
      <c r="C131" s="970"/>
      <c r="D131" s="970"/>
      <c r="E131" s="970"/>
      <c r="F131" s="970"/>
      <c r="G131" s="970"/>
      <c r="H131" s="970"/>
      <c r="I131" s="970"/>
      <c r="J131" s="970"/>
      <c r="K131" s="970"/>
      <c r="L131" s="970"/>
      <c r="M131" s="970"/>
      <c r="N131" s="970"/>
      <c r="O131" s="877"/>
      <c r="P131" s="877"/>
      <c r="Q131" s="877"/>
      <c r="R131" s="877"/>
      <c r="S131" s="877"/>
      <c r="T131" s="877"/>
      <c r="U131" s="877"/>
      <c r="V131" s="877"/>
      <c r="W131" s="877"/>
      <c r="X131" s="877"/>
      <c r="Y131" s="877"/>
      <c r="Z131" s="877"/>
      <c r="AA131" s="877"/>
      <c r="AB131" s="877"/>
      <c r="AC131" s="877"/>
      <c r="AD131" s="877"/>
      <c r="AE131" s="877"/>
      <c r="AF131" s="877"/>
      <c r="AG131" s="877"/>
      <c r="AH131" s="697"/>
      <c r="AI131" s="697"/>
      <c r="AJ131" s="697"/>
      <c r="AK131" s="697"/>
      <c r="AL131" s="697"/>
      <c r="AM131" s="697"/>
      <c r="AN131" s="697"/>
      <c r="AO131" s="697"/>
      <c r="AP131" s="697"/>
      <c r="AQ131" s="697"/>
      <c r="AR131" s="697"/>
    </row>
    <row r="132" spans="1:44" ht="13.5">
      <c r="A132" s="970"/>
      <c r="B132" s="970"/>
      <c r="C132" s="970"/>
      <c r="D132" s="970"/>
      <c r="E132" s="970"/>
      <c r="F132" s="970"/>
      <c r="G132" s="970"/>
      <c r="H132" s="970"/>
      <c r="I132" s="970"/>
      <c r="J132" s="970"/>
      <c r="K132" s="970"/>
      <c r="L132" s="970"/>
      <c r="M132" s="970"/>
      <c r="N132" s="970"/>
      <c r="O132" s="877"/>
      <c r="P132" s="877"/>
      <c r="Q132" s="877"/>
      <c r="R132" s="877"/>
      <c r="S132" s="877"/>
      <c r="T132" s="877"/>
      <c r="U132" s="877"/>
      <c r="V132" s="877"/>
      <c r="W132" s="877"/>
      <c r="X132" s="877"/>
      <c r="Y132" s="877"/>
      <c r="Z132" s="877"/>
      <c r="AA132" s="877"/>
      <c r="AB132" s="877"/>
      <c r="AC132" s="877"/>
      <c r="AD132" s="877"/>
      <c r="AE132" s="877"/>
      <c r="AF132" s="877"/>
      <c r="AG132" s="877"/>
      <c r="AH132" s="697"/>
      <c r="AI132" s="697"/>
      <c r="AJ132" s="697"/>
      <c r="AK132" s="697"/>
      <c r="AL132" s="697"/>
      <c r="AM132" s="697"/>
      <c r="AN132" s="697"/>
      <c r="AO132" s="697"/>
      <c r="AP132" s="697"/>
      <c r="AQ132" s="697"/>
      <c r="AR132" s="697"/>
    </row>
    <row r="133" spans="1:44" ht="13.5">
      <c r="A133" s="970"/>
      <c r="B133" s="970"/>
      <c r="C133" s="970"/>
      <c r="D133" s="970"/>
      <c r="E133" s="970"/>
      <c r="F133" s="970"/>
      <c r="G133" s="970"/>
      <c r="H133" s="970"/>
      <c r="I133" s="970"/>
      <c r="J133" s="970"/>
      <c r="K133" s="970"/>
      <c r="L133" s="970"/>
      <c r="M133" s="970"/>
      <c r="N133" s="970"/>
      <c r="O133" s="877"/>
      <c r="P133" s="877"/>
      <c r="Q133" s="877"/>
      <c r="R133" s="877"/>
      <c r="S133" s="877"/>
      <c r="T133" s="877"/>
      <c r="U133" s="877"/>
      <c r="V133" s="877"/>
      <c r="W133" s="877"/>
      <c r="X133" s="877"/>
      <c r="Y133" s="877"/>
      <c r="Z133" s="877"/>
      <c r="AA133" s="877"/>
      <c r="AB133" s="877"/>
      <c r="AC133" s="877"/>
      <c r="AD133" s="877"/>
      <c r="AE133" s="877"/>
      <c r="AF133" s="877"/>
      <c r="AG133" s="877"/>
      <c r="AH133" s="697"/>
      <c r="AI133" s="697"/>
      <c r="AJ133" s="697"/>
      <c r="AK133" s="697"/>
      <c r="AL133" s="697"/>
      <c r="AM133" s="697"/>
      <c r="AN133" s="697"/>
      <c r="AO133" s="697"/>
      <c r="AP133" s="697"/>
      <c r="AQ133" s="697"/>
      <c r="AR133" s="697"/>
    </row>
    <row r="134" spans="1:44" ht="13.5">
      <c r="A134" s="970"/>
      <c r="B134" s="970"/>
      <c r="C134" s="970"/>
      <c r="D134" s="970"/>
      <c r="E134" s="970"/>
      <c r="F134" s="970"/>
      <c r="G134" s="970"/>
      <c r="H134" s="970"/>
      <c r="I134" s="970"/>
      <c r="J134" s="970"/>
      <c r="K134" s="970"/>
      <c r="L134" s="970"/>
      <c r="M134" s="970"/>
      <c r="N134" s="970"/>
      <c r="O134" s="877"/>
      <c r="P134" s="877"/>
      <c r="Q134" s="877"/>
      <c r="R134" s="877"/>
      <c r="S134" s="877"/>
      <c r="T134" s="877"/>
      <c r="U134" s="877"/>
      <c r="V134" s="877"/>
      <c r="W134" s="877"/>
      <c r="X134" s="877"/>
      <c r="Y134" s="877"/>
      <c r="Z134" s="877"/>
      <c r="AA134" s="877"/>
      <c r="AB134" s="877"/>
      <c r="AC134" s="877"/>
      <c r="AD134" s="877"/>
      <c r="AE134" s="877"/>
      <c r="AF134" s="877"/>
      <c r="AG134" s="877"/>
      <c r="AH134" s="697"/>
      <c r="AI134" s="697"/>
      <c r="AJ134" s="697"/>
      <c r="AK134" s="697"/>
      <c r="AL134" s="697"/>
      <c r="AM134" s="697"/>
      <c r="AN134" s="697"/>
      <c r="AO134" s="697"/>
      <c r="AP134" s="697"/>
      <c r="AQ134" s="697"/>
      <c r="AR134" s="697"/>
    </row>
    <row r="135" spans="1:44" ht="13.5">
      <c r="A135" s="970"/>
      <c r="B135" s="970"/>
      <c r="C135" s="970"/>
      <c r="D135" s="970"/>
      <c r="E135" s="970"/>
      <c r="F135" s="970"/>
      <c r="G135" s="970"/>
      <c r="H135" s="970"/>
      <c r="I135" s="970"/>
      <c r="J135" s="970"/>
      <c r="K135" s="970"/>
      <c r="L135" s="970"/>
      <c r="M135" s="970"/>
      <c r="N135" s="970"/>
      <c r="O135" s="877"/>
      <c r="P135" s="877"/>
      <c r="Q135" s="877"/>
      <c r="R135" s="877"/>
      <c r="S135" s="877"/>
      <c r="T135" s="877"/>
      <c r="U135" s="877"/>
      <c r="V135" s="877"/>
      <c r="W135" s="877"/>
      <c r="X135" s="877"/>
      <c r="Y135" s="877"/>
      <c r="Z135" s="877"/>
      <c r="AA135" s="877"/>
      <c r="AB135" s="877"/>
      <c r="AC135" s="877"/>
      <c r="AD135" s="877"/>
      <c r="AE135" s="877"/>
      <c r="AF135" s="877"/>
      <c r="AG135" s="877"/>
      <c r="AH135" s="697"/>
      <c r="AI135" s="697"/>
      <c r="AJ135" s="697"/>
      <c r="AK135" s="697"/>
      <c r="AL135" s="697"/>
      <c r="AM135" s="697"/>
      <c r="AN135" s="697"/>
      <c r="AO135" s="697"/>
      <c r="AP135" s="697"/>
      <c r="AQ135" s="697"/>
      <c r="AR135" s="697"/>
    </row>
    <row r="136" spans="1:44" ht="13.5">
      <c r="A136" s="970"/>
      <c r="B136" s="970"/>
      <c r="C136" s="970"/>
      <c r="D136" s="970"/>
      <c r="E136" s="970"/>
      <c r="F136" s="970"/>
      <c r="G136" s="970"/>
      <c r="H136" s="970"/>
      <c r="I136" s="970"/>
      <c r="J136" s="970"/>
      <c r="K136" s="970"/>
      <c r="L136" s="970"/>
      <c r="M136" s="970"/>
      <c r="N136" s="970"/>
      <c r="O136" s="877"/>
      <c r="P136" s="877"/>
      <c r="Q136" s="877"/>
      <c r="R136" s="877"/>
      <c r="S136" s="877"/>
      <c r="T136" s="877"/>
      <c r="U136" s="877"/>
      <c r="V136" s="877"/>
      <c r="W136" s="877"/>
      <c r="X136" s="877"/>
      <c r="Y136" s="877"/>
      <c r="Z136" s="877"/>
      <c r="AA136" s="877"/>
      <c r="AB136" s="877"/>
      <c r="AC136" s="877"/>
      <c r="AD136" s="877"/>
      <c r="AE136" s="877"/>
      <c r="AF136" s="877"/>
      <c r="AG136" s="877"/>
      <c r="AH136" s="697"/>
      <c r="AI136" s="697"/>
      <c r="AJ136" s="697"/>
      <c r="AK136" s="697"/>
      <c r="AL136" s="697"/>
      <c r="AM136" s="697"/>
      <c r="AN136" s="697"/>
      <c r="AO136" s="697"/>
      <c r="AP136" s="697"/>
      <c r="AQ136" s="697"/>
      <c r="AR136" s="697"/>
    </row>
    <row r="137" spans="1:44" ht="13.5">
      <c r="A137" s="970"/>
      <c r="B137" s="970"/>
      <c r="C137" s="970"/>
      <c r="D137" s="970"/>
      <c r="E137" s="970"/>
      <c r="F137" s="970"/>
      <c r="G137" s="970"/>
      <c r="H137" s="970"/>
      <c r="I137" s="970"/>
      <c r="J137" s="970"/>
      <c r="K137" s="970"/>
      <c r="L137" s="970"/>
      <c r="M137" s="970"/>
      <c r="N137" s="970"/>
      <c r="O137" s="877"/>
      <c r="P137" s="877"/>
      <c r="Q137" s="877"/>
      <c r="R137" s="877"/>
      <c r="S137" s="877"/>
      <c r="T137" s="877"/>
      <c r="U137" s="877"/>
      <c r="V137" s="877"/>
      <c r="W137" s="877"/>
      <c r="X137" s="877"/>
      <c r="Y137" s="877"/>
      <c r="Z137" s="877"/>
      <c r="AA137" s="877"/>
      <c r="AB137" s="877"/>
      <c r="AC137" s="877"/>
      <c r="AD137" s="877"/>
      <c r="AE137" s="877"/>
      <c r="AF137" s="877"/>
      <c r="AG137" s="877"/>
      <c r="AH137" s="697"/>
      <c r="AI137" s="697"/>
      <c r="AJ137" s="697"/>
      <c r="AK137" s="697"/>
      <c r="AL137" s="697"/>
      <c r="AM137" s="697"/>
      <c r="AN137" s="697"/>
      <c r="AO137" s="697"/>
      <c r="AP137" s="697"/>
      <c r="AQ137" s="697"/>
      <c r="AR137" s="697"/>
    </row>
    <row r="138" spans="1:44" ht="13.5">
      <c r="A138" s="970"/>
      <c r="B138" s="970"/>
      <c r="C138" s="970"/>
      <c r="D138" s="970"/>
      <c r="E138" s="970"/>
      <c r="F138" s="970"/>
      <c r="G138" s="970"/>
      <c r="H138" s="970"/>
      <c r="I138" s="970"/>
      <c r="J138" s="970"/>
      <c r="K138" s="970"/>
      <c r="L138" s="970"/>
      <c r="M138" s="970"/>
      <c r="N138" s="970"/>
      <c r="O138" s="877"/>
      <c r="P138" s="877"/>
      <c r="Q138" s="877"/>
      <c r="R138" s="877"/>
      <c r="S138" s="877"/>
      <c r="T138" s="877"/>
      <c r="U138" s="877"/>
      <c r="V138" s="877"/>
      <c r="W138" s="877"/>
      <c r="X138" s="877"/>
      <c r="Y138" s="877"/>
      <c r="Z138" s="877"/>
      <c r="AA138" s="877"/>
      <c r="AB138" s="877"/>
      <c r="AC138" s="877"/>
      <c r="AD138" s="877"/>
      <c r="AE138" s="877"/>
      <c r="AF138" s="877"/>
      <c r="AG138" s="877"/>
      <c r="AH138" s="697"/>
      <c r="AI138" s="697"/>
      <c r="AJ138" s="697"/>
      <c r="AK138" s="697"/>
      <c r="AL138" s="697"/>
      <c r="AM138" s="697"/>
      <c r="AN138" s="697"/>
      <c r="AO138" s="697"/>
      <c r="AP138" s="697"/>
      <c r="AQ138" s="697"/>
      <c r="AR138" s="697"/>
    </row>
    <row r="139" spans="1:44" ht="13.5">
      <c r="A139" s="970"/>
      <c r="B139" s="970"/>
      <c r="C139" s="970"/>
      <c r="D139" s="970"/>
      <c r="E139" s="970"/>
      <c r="F139" s="970"/>
      <c r="G139" s="970"/>
      <c r="H139" s="970"/>
      <c r="I139" s="970"/>
      <c r="J139" s="970"/>
      <c r="K139" s="970"/>
      <c r="L139" s="970"/>
      <c r="M139" s="970"/>
      <c r="N139" s="970"/>
      <c r="O139" s="877"/>
      <c r="P139" s="877"/>
      <c r="Q139" s="877"/>
      <c r="R139" s="877"/>
      <c r="S139" s="877"/>
      <c r="T139" s="877"/>
      <c r="U139" s="877"/>
      <c r="V139" s="877"/>
      <c r="W139" s="877"/>
      <c r="X139" s="877"/>
      <c r="Y139" s="877"/>
      <c r="Z139" s="877"/>
      <c r="AA139" s="877"/>
      <c r="AB139" s="877"/>
      <c r="AC139" s="877"/>
      <c r="AD139" s="877"/>
      <c r="AE139" s="877"/>
      <c r="AF139" s="877"/>
      <c r="AG139" s="877"/>
      <c r="AH139" s="697"/>
      <c r="AI139" s="697"/>
      <c r="AJ139" s="697"/>
      <c r="AK139" s="697"/>
      <c r="AL139" s="697"/>
      <c r="AM139" s="697"/>
      <c r="AN139" s="697"/>
      <c r="AO139" s="697"/>
      <c r="AP139" s="697"/>
      <c r="AQ139" s="697"/>
      <c r="AR139" s="697"/>
    </row>
    <row r="140" spans="1:44" ht="13.5">
      <c r="A140" s="970"/>
      <c r="B140" s="970"/>
      <c r="C140" s="970"/>
      <c r="D140" s="970"/>
      <c r="E140" s="970"/>
      <c r="F140" s="970"/>
      <c r="G140" s="970"/>
      <c r="H140" s="970"/>
      <c r="I140" s="970"/>
      <c r="J140" s="970"/>
      <c r="K140" s="970"/>
      <c r="L140" s="970"/>
      <c r="M140" s="970"/>
      <c r="N140" s="970"/>
      <c r="O140" s="877"/>
      <c r="P140" s="877"/>
      <c r="Q140" s="877"/>
      <c r="R140" s="877"/>
      <c r="S140" s="877"/>
      <c r="T140" s="877"/>
      <c r="U140" s="877"/>
      <c r="V140" s="877"/>
      <c r="W140" s="877"/>
      <c r="X140" s="877"/>
      <c r="Y140" s="877"/>
      <c r="Z140" s="877"/>
      <c r="AA140" s="877"/>
      <c r="AB140" s="877"/>
      <c r="AC140" s="877"/>
      <c r="AD140" s="877"/>
      <c r="AE140" s="877"/>
      <c r="AF140" s="877"/>
      <c r="AG140" s="877"/>
      <c r="AH140" s="697"/>
      <c r="AI140" s="697"/>
      <c r="AJ140" s="697"/>
      <c r="AK140" s="697"/>
      <c r="AL140" s="697"/>
      <c r="AM140" s="697"/>
      <c r="AN140" s="697"/>
      <c r="AO140" s="697"/>
      <c r="AP140" s="697"/>
      <c r="AQ140" s="697"/>
      <c r="AR140" s="697"/>
    </row>
    <row r="141" spans="1:44" ht="13.5">
      <c r="A141" s="763"/>
      <c r="B141" s="763"/>
      <c r="C141" s="763"/>
      <c r="D141" s="763"/>
      <c r="E141" s="763"/>
      <c r="F141" s="763"/>
      <c r="G141" s="763"/>
      <c r="H141" s="763"/>
      <c r="I141" s="763"/>
      <c r="J141" s="763"/>
      <c r="K141" s="763"/>
      <c r="L141" s="763"/>
      <c r="M141" s="763"/>
      <c r="N141" s="763"/>
      <c r="O141" s="877"/>
      <c r="P141" s="877"/>
      <c r="Q141" s="877"/>
      <c r="R141" s="877"/>
      <c r="S141" s="877"/>
      <c r="T141" s="877"/>
      <c r="U141" s="877"/>
      <c r="V141" s="877"/>
      <c r="W141" s="877"/>
      <c r="X141" s="877"/>
      <c r="Y141" s="877"/>
      <c r="Z141" s="877"/>
      <c r="AA141" s="877"/>
      <c r="AB141" s="877"/>
      <c r="AC141" s="877"/>
      <c r="AD141" s="877"/>
      <c r="AE141" s="877"/>
      <c r="AF141" s="877"/>
      <c r="AG141" s="877"/>
      <c r="AH141" s="697"/>
      <c r="AI141" s="697"/>
      <c r="AJ141" s="697"/>
      <c r="AK141" s="697"/>
      <c r="AL141" s="697"/>
      <c r="AM141" s="697"/>
      <c r="AN141" s="697"/>
      <c r="AO141" s="697"/>
      <c r="AP141" s="697"/>
      <c r="AQ141" s="697"/>
      <c r="AR141" s="697"/>
    </row>
    <row r="142" spans="1:44" ht="13.5">
      <c r="A142" s="970"/>
      <c r="B142" s="970"/>
      <c r="C142" s="970"/>
      <c r="D142" s="970"/>
      <c r="E142" s="970"/>
      <c r="F142" s="970"/>
      <c r="G142" s="970"/>
      <c r="H142" s="970"/>
      <c r="I142" s="970"/>
      <c r="J142" s="970"/>
      <c r="K142" s="970"/>
      <c r="L142" s="970"/>
      <c r="M142" s="970"/>
      <c r="N142" s="970"/>
      <c r="O142" s="877"/>
      <c r="P142" s="877"/>
      <c r="Q142" s="877"/>
      <c r="R142" s="877"/>
      <c r="S142" s="877"/>
      <c r="T142" s="877"/>
      <c r="U142" s="877"/>
      <c r="V142" s="877"/>
      <c r="W142" s="877"/>
      <c r="X142" s="877"/>
      <c r="Y142" s="877"/>
      <c r="Z142" s="877"/>
      <c r="AA142" s="877"/>
      <c r="AB142" s="877"/>
      <c r="AC142" s="877"/>
      <c r="AD142" s="877"/>
      <c r="AE142" s="877"/>
      <c r="AF142" s="877"/>
      <c r="AG142" s="877"/>
      <c r="AH142" s="697"/>
      <c r="AI142" s="697"/>
      <c r="AJ142" s="697"/>
      <c r="AK142" s="697"/>
      <c r="AL142" s="697"/>
      <c r="AM142" s="697"/>
      <c r="AN142" s="697"/>
      <c r="AO142" s="697"/>
      <c r="AP142" s="697"/>
      <c r="AQ142" s="697"/>
      <c r="AR142" s="697"/>
    </row>
    <row r="143" spans="1:44" ht="13.5">
      <c r="A143" s="970"/>
      <c r="B143" s="970"/>
      <c r="C143" s="970"/>
      <c r="D143" s="970"/>
      <c r="E143" s="970"/>
      <c r="F143" s="970"/>
      <c r="G143" s="970"/>
      <c r="H143" s="970"/>
      <c r="I143" s="970"/>
      <c r="J143" s="970"/>
      <c r="K143" s="970"/>
      <c r="L143" s="970"/>
      <c r="M143" s="970"/>
      <c r="N143" s="970"/>
      <c r="O143" s="877"/>
      <c r="P143" s="877"/>
      <c r="Q143" s="877"/>
      <c r="R143" s="877"/>
      <c r="S143" s="877"/>
      <c r="T143" s="877"/>
      <c r="U143" s="877"/>
      <c r="V143" s="877"/>
      <c r="W143" s="877"/>
      <c r="X143" s="877"/>
      <c r="Y143" s="877"/>
      <c r="Z143" s="877"/>
      <c r="AA143" s="877"/>
      <c r="AB143" s="877"/>
      <c r="AC143" s="877"/>
      <c r="AD143" s="877"/>
      <c r="AE143" s="877"/>
      <c r="AF143" s="877"/>
      <c r="AG143" s="877"/>
      <c r="AH143" s="697"/>
      <c r="AI143" s="697"/>
      <c r="AJ143" s="697"/>
      <c r="AK143" s="697"/>
      <c r="AL143" s="697"/>
      <c r="AM143" s="697"/>
      <c r="AN143" s="697"/>
      <c r="AO143" s="697"/>
      <c r="AP143" s="697"/>
      <c r="AQ143" s="697"/>
      <c r="AR143" s="697"/>
    </row>
    <row r="144" spans="1:44" ht="13.5">
      <c r="A144" s="763"/>
      <c r="B144" s="763"/>
      <c r="C144" s="763"/>
      <c r="D144" s="763"/>
      <c r="E144" s="763"/>
      <c r="F144" s="763"/>
      <c r="G144" s="763"/>
      <c r="H144" s="763"/>
      <c r="I144" s="763"/>
      <c r="J144" s="763"/>
      <c r="K144" s="763"/>
      <c r="L144" s="763"/>
      <c r="M144" s="763"/>
      <c r="N144" s="763"/>
      <c r="O144" s="877"/>
      <c r="P144" s="877"/>
      <c r="Q144" s="877"/>
      <c r="R144" s="877"/>
      <c r="S144" s="877"/>
      <c r="T144" s="877"/>
      <c r="U144" s="877"/>
      <c r="V144" s="877"/>
      <c r="W144" s="877"/>
      <c r="X144" s="877"/>
      <c r="Y144" s="877"/>
      <c r="Z144" s="877"/>
      <c r="AA144" s="877"/>
      <c r="AB144" s="877"/>
      <c r="AC144" s="877"/>
      <c r="AD144" s="877"/>
      <c r="AE144" s="877"/>
      <c r="AF144" s="877"/>
      <c r="AG144" s="877"/>
      <c r="AH144" s="697"/>
      <c r="AI144" s="697"/>
      <c r="AJ144" s="697"/>
      <c r="AK144" s="697"/>
      <c r="AL144" s="697"/>
      <c r="AM144" s="697"/>
      <c r="AN144" s="697"/>
      <c r="AO144" s="697"/>
      <c r="AP144" s="697"/>
      <c r="AQ144" s="697"/>
      <c r="AR144" s="697"/>
    </row>
    <row r="145" spans="1:44" ht="13.5">
      <c r="A145" s="763"/>
      <c r="B145" s="763"/>
      <c r="C145" s="763"/>
      <c r="D145" s="763"/>
      <c r="E145" s="763"/>
      <c r="F145" s="763"/>
      <c r="G145" s="763"/>
      <c r="H145" s="763"/>
      <c r="I145" s="763"/>
      <c r="J145" s="763"/>
      <c r="K145" s="763"/>
      <c r="L145" s="763"/>
      <c r="M145" s="763"/>
      <c r="N145" s="763"/>
      <c r="O145" s="877"/>
      <c r="P145" s="877"/>
      <c r="Q145" s="877"/>
      <c r="R145" s="877"/>
      <c r="S145" s="877"/>
      <c r="T145" s="877"/>
      <c r="U145" s="877"/>
      <c r="V145" s="877"/>
      <c r="W145" s="877"/>
      <c r="X145" s="877"/>
      <c r="Y145" s="877"/>
      <c r="Z145" s="877"/>
      <c r="AA145" s="877"/>
      <c r="AB145" s="877"/>
      <c r="AC145" s="877"/>
      <c r="AD145" s="877"/>
      <c r="AE145" s="877"/>
      <c r="AF145" s="877"/>
      <c r="AG145" s="877"/>
      <c r="AH145" s="697"/>
      <c r="AI145" s="697"/>
      <c r="AJ145" s="697"/>
      <c r="AK145" s="697"/>
      <c r="AL145" s="697"/>
      <c r="AM145" s="697"/>
      <c r="AN145" s="697"/>
      <c r="AO145" s="697"/>
      <c r="AP145" s="697"/>
      <c r="AQ145" s="697"/>
      <c r="AR145" s="697"/>
    </row>
    <row r="146" spans="1:44" ht="13.5">
      <c r="A146" s="970"/>
      <c r="B146" s="970"/>
      <c r="C146" s="970"/>
      <c r="D146" s="970"/>
      <c r="E146" s="970"/>
      <c r="F146" s="970"/>
      <c r="G146" s="970"/>
      <c r="H146" s="970"/>
      <c r="I146" s="970"/>
      <c r="J146" s="970"/>
      <c r="K146" s="970"/>
      <c r="L146" s="970"/>
      <c r="M146" s="970"/>
      <c r="N146" s="970"/>
      <c r="O146" s="877"/>
      <c r="P146" s="877"/>
      <c r="Q146" s="877"/>
      <c r="R146" s="877"/>
      <c r="S146" s="877"/>
      <c r="T146" s="877"/>
      <c r="U146" s="877"/>
      <c r="V146" s="877"/>
      <c r="W146" s="877"/>
      <c r="X146" s="877"/>
      <c r="Y146" s="877"/>
      <c r="Z146" s="877"/>
      <c r="AA146" s="877"/>
      <c r="AB146" s="877"/>
      <c r="AC146" s="877"/>
      <c r="AD146" s="877"/>
      <c r="AE146" s="877"/>
      <c r="AF146" s="877"/>
      <c r="AG146" s="877"/>
      <c r="AH146" s="697"/>
      <c r="AI146" s="697"/>
      <c r="AJ146" s="697"/>
      <c r="AK146" s="697"/>
      <c r="AL146" s="697"/>
      <c r="AM146" s="697"/>
      <c r="AN146" s="697"/>
      <c r="AO146" s="697"/>
      <c r="AP146" s="697"/>
      <c r="AQ146" s="697"/>
      <c r="AR146" s="697"/>
    </row>
    <row r="147" spans="1:44" ht="13.5">
      <c r="A147" s="970"/>
      <c r="B147" s="970"/>
      <c r="C147" s="970"/>
      <c r="D147" s="970"/>
      <c r="E147" s="970"/>
      <c r="F147" s="970"/>
      <c r="G147" s="970"/>
      <c r="H147" s="970"/>
      <c r="I147" s="970"/>
      <c r="J147" s="970"/>
      <c r="K147" s="970"/>
      <c r="L147" s="970"/>
      <c r="M147" s="970"/>
      <c r="N147" s="970"/>
      <c r="O147" s="877"/>
      <c r="P147" s="877"/>
      <c r="Q147" s="877"/>
      <c r="R147" s="877"/>
      <c r="S147" s="877"/>
      <c r="T147" s="877"/>
      <c r="U147" s="877"/>
      <c r="V147" s="877"/>
      <c r="W147" s="877"/>
      <c r="X147" s="877"/>
      <c r="Y147" s="877"/>
      <c r="Z147" s="877"/>
      <c r="AA147" s="877"/>
      <c r="AB147" s="877"/>
      <c r="AC147" s="877"/>
      <c r="AD147" s="877"/>
      <c r="AE147" s="877"/>
      <c r="AF147" s="877"/>
      <c r="AG147" s="877"/>
      <c r="AH147" s="697"/>
      <c r="AI147" s="697"/>
      <c r="AJ147" s="697"/>
      <c r="AK147" s="697"/>
      <c r="AL147" s="697"/>
      <c r="AM147" s="697"/>
      <c r="AN147" s="697"/>
      <c r="AO147" s="697"/>
      <c r="AP147" s="697"/>
      <c r="AQ147" s="697"/>
      <c r="AR147" s="697"/>
    </row>
    <row r="148" spans="1:44" ht="13.5">
      <c r="A148" s="970"/>
      <c r="B148" s="970"/>
      <c r="C148" s="970"/>
      <c r="D148" s="970"/>
      <c r="E148" s="970"/>
      <c r="F148" s="970"/>
      <c r="G148" s="970"/>
      <c r="H148" s="970"/>
      <c r="I148" s="970"/>
      <c r="J148" s="970"/>
      <c r="K148" s="970"/>
      <c r="L148" s="970"/>
      <c r="M148" s="970"/>
      <c r="N148" s="970"/>
      <c r="O148" s="877"/>
      <c r="P148" s="877"/>
      <c r="Q148" s="877"/>
      <c r="R148" s="877"/>
      <c r="S148" s="877"/>
      <c r="T148" s="877"/>
      <c r="U148" s="877"/>
      <c r="V148" s="877"/>
      <c r="W148" s="877"/>
      <c r="X148" s="877"/>
      <c r="Y148" s="877"/>
      <c r="Z148" s="877"/>
      <c r="AA148" s="877"/>
      <c r="AB148" s="877"/>
      <c r="AC148" s="877"/>
      <c r="AD148" s="877"/>
      <c r="AE148" s="877"/>
      <c r="AF148" s="877"/>
      <c r="AG148" s="877"/>
      <c r="AH148" s="697"/>
      <c r="AI148" s="697"/>
      <c r="AJ148" s="697"/>
      <c r="AK148" s="697"/>
      <c r="AL148" s="697"/>
      <c r="AM148" s="697"/>
      <c r="AN148" s="697"/>
      <c r="AO148" s="697"/>
      <c r="AP148" s="697"/>
      <c r="AQ148" s="697"/>
      <c r="AR148" s="697"/>
    </row>
    <row r="149" spans="1:44" ht="13.5">
      <c r="A149" s="970"/>
      <c r="B149" s="970"/>
      <c r="C149" s="970"/>
      <c r="D149" s="970"/>
      <c r="E149" s="970"/>
      <c r="F149" s="970"/>
      <c r="G149" s="970"/>
      <c r="H149" s="970"/>
      <c r="I149" s="970"/>
      <c r="J149" s="970"/>
      <c r="K149" s="970"/>
      <c r="L149" s="970"/>
      <c r="M149" s="970"/>
      <c r="N149" s="970"/>
      <c r="O149" s="877"/>
      <c r="P149" s="877"/>
      <c r="Q149" s="877"/>
      <c r="R149" s="877"/>
      <c r="S149" s="877"/>
      <c r="T149" s="877"/>
      <c r="U149" s="877"/>
      <c r="V149" s="877"/>
      <c r="W149" s="877"/>
      <c r="X149" s="877"/>
      <c r="Y149" s="877"/>
      <c r="Z149" s="877"/>
      <c r="AA149" s="877"/>
      <c r="AB149" s="877"/>
      <c r="AC149" s="877"/>
      <c r="AD149" s="877"/>
      <c r="AE149" s="877"/>
      <c r="AF149" s="877"/>
      <c r="AG149" s="877"/>
      <c r="AH149" s="697"/>
      <c r="AI149" s="697"/>
      <c r="AJ149" s="697"/>
      <c r="AK149" s="697"/>
      <c r="AL149" s="697"/>
      <c r="AM149" s="697"/>
      <c r="AN149" s="697"/>
      <c r="AO149" s="697"/>
      <c r="AP149" s="697"/>
      <c r="AQ149" s="697"/>
      <c r="AR149" s="697"/>
    </row>
    <row r="150" spans="1:44" ht="13.5">
      <c r="A150" s="763"/>
      <c r="B150" s="763"/>
      <c r="C150" s="763"/>
      <c r="D150" s="763"/>
      <c r="E150" s="763"/>
      <c r="F150" s="763"/>
      <c r="G150" s="763"/>
      <c r="H150" s="763"/>
      <c r="I150" s="763"/>
      <c r="J150" s="763"/>
      <c r="K150" s="763"/>
      <c r="L150" s="763"/>
      <c r="M150" s="763"/>
      <c r="N150" s="763"/>
      <c r="O150" s="877"/>
      <c r="P150" s="877"/>
      <c r="Q150" s="877"/>
      <c r="R150" s="877"/>
      <c r="S150" s="877"/>
      <c r="T150" s="877"/>
      <c r="U150" s="877"/>
      <c r="V150" s="877"/>
      <c r="W150" s="877"/>
      <c r="X150" s="877"/>
      <c r="Y150" s="877"/>
      <c r="Z150" s="877"/>
      <c r="AA150" s="877"/>
      <c r="AB150" s="877"/>
      <c r="AC150" s="877"/>
      <c r="AD150" s="877"/>
      <c r="AE150" s="877"/>
      <c r="AF150" s="877"/>
      <c r="AG150" s="877"/>
      <c r="AH150" s="697"/>
      <c r="AI150" s="697"/>
      <c r="AJ150" s="697"/>
      <c r="AK150" s="697"/>
      <c r="AL150" s="697"/>
      <c r="AM150" s="697"/>
      <c r="AN150" s="697"/>
      <c r="AO150" s="697"/>
      <c r="AP150" s="697"/>
      <c r="AQ150" s="697"/>
      <c r="AR150" s="697"/>
    </row>
    <row r="151" spans="1:44" ht="13.5">
      <c r="A151" s="763"/>
      <c r="B151" s="763"/>
      <c r="C151" s="763"/>
      <c r="D151" s="763"/>
      <c r="E151" s="763"/>
      <c r="F151" s="763"/>
      <c r="G151" s="763"/>
      <c r="H151" s="763"/>
      <c r="I151" s="763"/>
      <c r="J151" s="763"/>
      <c r="K151" s="763"/>
      <c r="L151" s="763"/>
      <c r="M151" s="763"/>
      <c r="N151" s="763"/>
      <c r="O151" s="877"/>
      <c r="P151" s="877"/>
      <c r="Q151" s="877"/>
      <c r="R151" s="877"/>
      <c r="S151" s="877"/>
      <c r="T151" s="877"/>
      <c r="U151" s="877"/>
      <c r="V151" s="877"/>
      <c r="W151" s="877"/>
      <c r="X151" s="877"/>
      <c r="Y151" s="877"/>
      <c r="Z151" s="877"/>
      <c r="AA151" s="877"/>
      <c r="AB151" s="877"/>
      <c r="AC151" s="877"/>
      <c r="AD151" s="877"/>
      <c r="AE151" s="877"/>
      <c r="AF151" s="877"/>
      <c r="AG151" s="877"/>
      <c r="AH151" s="697"/>
      <c r="AI151" s="697"/>
      <c r="AJ151" s="697"/>
      <c r="AK151" s="697"/>
      <c r="AL151" s="697"/>
      <c r="AM151" s="697"/>
      <c r="AN151" s="697"/>
      <c r="AO151" s="697"/>
      <c r="AP151" s="697"/>
      <c r="AQ151" s="697"/>
      <c r="AR151" s="697"/>
    </row>
    <row r="152" spans="1:44" ht="13.5">
      <c r="A152" s="763"/>
      <c r="B152" s="763"/>
      <c r="C152" s="763"/>
      <c r="D152" s="763"/>
      <c r="E152" s="763"/>
      <c r="F152" s="763"/>
      <c r="G152" s="763"/>
      <c r="H152" s="763"/>
      <c r="I152" s="763"/>
      <c r="J152" s="763"/>
      <c r="K152" s="763"/>
      <c r="L152" s="763"/>
      <c r="M152" s="763"/>
      <c r="N152" s="763"/>
      <c r="O152" s="877"/>
      <c r="P152" s="877"/>
      <c r="Q152" s="877"/>
      <c r="R152" s="877"/>
      <c r="S152" s="877"/>
      <c r="T152" s="877"/>
      <c r="U152" s="877"/>
      <c r="V152" s="877"/>
      <c r="W152" s="877"/>
      <c r="X152" s="877"/>
      <c r="Y152" s="877"/>
      <c r="Z152" s="877"/>
      <c r="AA152" s="877"/>
      <c r="AB152" s="877"/>
      <c r="AC152" s="877"/>
      <c r="AD152" s="877"/>
      <c r="AE152" s="877"/>
      <c r="AF152" s="877"/>
      <c r="AG152" s="877"/>
      <c r="AH152" s="697"/>
      <c r="AI152" s="697"/>
      <c r="AJ152" s="697"/>
      <c r="AK152" s="697"/>
      <c r="AL152" s="697"/>
      <c r="AM152" s="697"/>
      <c r="AN152" s="697"/>
      <c r="AO152" s="697"/>
      <c r="AP152" s="697"/>
      <c r="AQ152" s="697"/>
      <c r="AR152" s="697"/>
    </row>
    <row r="153" spans="1:44" ht="12.75">
      <c r="A153" s="697"/>
      <c r="B153" s="697"/>
      <c r="C153" s="697"/>
      <c r="D153" s="697"/>
      <c r="E153" s="697"/>
      <c r="F153" s="697"/>
      <c r="G153" s="697"/>
      <c r="H153" s="697"/>
      <c r="I153" s="697"/>
      <c r="J153" s="697"/>
      <c r="K153" s="697"/>
      <c r="L153" s="697"/>
      <c r="M153" s="697"/>
      <c r="N153" s="697"/>
      <c r="O153" s="697"/>
      <c r="P153" s="697"/>
      <c r="Q153" s="697"/>
      <c r="R153" s="697"/>
      <c r="S153" s="697"/>
      <c r="T153" s="697"/>
      <c r="U153" s="697"/>
      <c r="V153" s="697"/>
      <c r="W153" s="697"/>
      <c r="X153" s="697"/>
      <c r="Y153" s="697"/>
      <c r="Z153" s="697"/>
      <c r="AA153" s="697"/>
      <c r="AB153" s="697"/>
      <c r="AC153" s="697"/>
      <c r="AD153" s="697"/>
      <c r="AE153" s="697"/>
      <c r="AF153" s="697"/>
      <c r="AG153" s="697"/>
      <c r="AH153" s="697"/>
      <c r="AI153" s="697"/>
      <c r="AJ153" s="697"/>
      <c r="AK153" s="697"/>
      <c r="AL153" s="697"/>
      <c r="AM153" s="697"/>
      <c r="AN153" s="697"/>
      <c r="AO153" s="697"/>
      <c r="AP153" s="697"/>
      <c r="AQ153" s="697"/>
      <c r="AR153" s="697"/>
    </row>
    <row r="154" spans="1:44" ht="12.75">
      <c r="A154" s="697"/>
      <c r="B154" s="697"/>
      <c r="C154" s="697"/>
      <c r="D154" s="697"/>
      <c r="E154" s="697"/>
      <c r="F154" s="697"/>
      <c r="G154" s="697"/>
      <c r="H154" s="697"/>
      <c r="I154" s="697"/>
      <c r="J154" s="697"/>
      <c r="K154" s="697"/>
      <c r="L154" s="697"/>
      <c r="M154" s="697"/>
      <c r="N154" s="697"/>
      <c r="O154" s="971"/>
      <c r="P154" s="697"/>
      <c r="Q154" s="697"/>
      <c r="R154" s="697"/>
      <c r="S154" s="697"/>
      <c r="T154" s="697"/>
      <c r="U154" s="697"/>
      <c r="V154" s="697"/>
      <c r="W154" s="697"/>
      <c r="X154" s="697"/>
      <c r="Y154" s="697"/>
      <c r="Z154" s="697"/>
      <c r="AA154" s="697"/>
      <c r="AB154" s="697"/>
      <c r="AC154" s="697"/>
      <c r="AD154" s="697"/>
      <c r="AE154" s="697"/>
      <c r="AF154" s="697"/>
      <c r="AG154" s="697"/>
      <c r="AH154" s="697"/>
      <c r="AI154" s="697"/>
      <c r="AJ154" s="697"/>
      <c r="AK154" s="697"/>
      <c r="AL154" s="697"/>
      <c r="AM154" s="697"/>
      <c r="AN154" s="697"/>
      <c r="AO154" s="697"/>
      <c r="AP154" s="697"/>
      <c r="AQ154" s="697"/>
      <c r="AR154" s="697"/>
    </row>
    <row r="155" spans="1:44" ht="12.75">
      <c r="A155" s="697"/>
      <c r="B155" s="697"/>
      <c r="C155" s="697"/>
      <c r="D155" s="697"/>
      <c r="E155" s="697"/>
      <c r="F155" s="697"/>
      <c r="G155" s="697"/>
      <c r="H155" s="697"/>
      <c r="I155" s="697"/>
      <c r="J155" s="697"/>
      <c r="K155" s="697"/>
      <c r="L155" s="697"/>
      <c r="M155" s="697"/>
      <c r="N155" s="697"/>
      <c r="O155" s="741"/>
      <c r="P155" s="697"/>
      <c r="Q155" s="697"/>
      <c r="R155" s="697"/>
      <c r="S155" s="697"/>
      <c r="T155" s="697"/>
      <c r="U155" s="697"/>
      <c r="V155" s="697"/>
      <c r="W155" s="697"/>
      <c r="X155" s="697"/>
      <c r="Y155" s="697"/>
      <c r="Z155" s="697"/>
      <c r="AA155" s="697"/>
      <c r="AB155" s="697"/>
      <c r="AC155" s="697"/>
      <c r="AD155" s="697"/>
      <c r="AE155" s="697"/>
      <c r="AF155" s="697"/>
      <c r="AG155" s="697"/>
      <c r="AH155" s="697"/>
      <c r="AI155" s="697"/>
      <c r="AJ155" s="697"/>
      <c r="AK155" s="697"/>
      <c r="AL155" s="697"/>
      <c r="AM155" s="697"/>
      <c r="AN155" s="697"/>
      <c r="AO155" s="697"/>
      <c r="AP155" s="697"/>
      <c r="AQ155" s="697"/>
      <c r="AR155" s="697"/>
    </row>
    <row r="156" spans="1:44" ht="12.75">
      <c r="A156" s="697"/>
      <c r="B156" s="697"/>
      <c r="C156" s="697"/>
      <c r="D156" s="697"/>
      <c r="E156" s="697"/>
      <c r="F156" s="697"/>
      <c r="G156" s="697"/>
      <c r="H156" s="697"/>
      <c r="I156" s="697"/>
      <c r="J156" s="697"/>
      <c r="K156" s="697"/>
      <c r="L156" s="697"/>
      <c r="M156" s="697"/>
      <c r="N156" s="697"/>
      <c r="O156" s="741"/>
      <c r="P156" s="741"/>
      <c r="Q156" s="741"/>
      <c r="R156" s="741"/>
      <c r="S156" s="697"/>
      <c r="T156" s="697"/>
      <c r="U156" s="697"/>
      <c r="V156" s="697"/>
      <c r="W156" s="697"/>
      <c r="X156" s="697"/>
      <c r="Y156" s="697"/>
      <c r="Z156" s="697"/>
      <c r="AA156" s="697"/>
      <c r="AB156" s="697"/>
      <c r="AC156" s="697"/>
      <c r="AD156" s="697"/>
      <c r="AE156" s="697"/>
      <c r="AF156" s="697"/>
      <c r="AG156" s="697"/>
      <c r="AH156" s="697"/>
      <c r="AI156" s="697"/>
      <c r="AJ156" s="697"/>
      <c r="AK156" s="697"/>
      <c r="AL156" s="697"/>
      <c r="AM156" s="697"/>
      <c r="AN156" s="697"/>
      <c r="AO156" s="697"/>
      <c r="AP156" s="697"/>
      <c r="AQ156" s="697"/>
      <c r="AR156" s="697"/>
    </row>
    <row r="157" spans="1:44" ht="12.75">
      <c r="A157" s="697"/>
      <c r="B157" s="697"/>
      <c r="C157" s="697"/>
      <c r="D157" s="697"/>
      <c r="E157" s="697"/>
      <c r="F157" s="697"/>
      <c r="G157" s="697"/>
      <c r="H157" s="697"/>
      <c r="I157" s="697"/>
      <c r="J157" s="697"/>
      <c r="K157" s="697"/>
      <c r="L157" s="697"/>
      <c r="M157" s="697"/>
      <c r="N157" s="697"/>
      <c r="O157" s="697"/>
      <c r="P157" s="697"/>
      <c r="Q157" s="697"/>
      <c r="R157" s="697"/>
      <c r="S157" s="697"/>
      <c r="T157" s="697"/>
      <c r="U157" s="697"/>
      <c r="V157" s="697"/>
      <c r="W157" s="697"/>
      <c r="X157" s="697"/>
      <c r="Y157" s="697"/>
      <c r="Z157" s="697"/>
      <c r="AA157" s="697"/>
      <c r="AB157" s="697"/>
      <c r="AC157" s="697"/>
      <c r="AD157" s="697"/>
      <c r="AE157" s="697"/>
      <c r="AF157" s="697"/>
      <c r="AG157" s="697"/>
      <c r="AH157" s="697"/>
      <c r="AI157" s="697"/>
      <c r="AJ157" s="697"/>
      <c r="AK157" s="697"/>
      <c r="AL157" s="697"/>
      <c r="AM157" s="697"/>
      <c r="AN157" s="697"/>
      <c r="AO157" s="697"/>
      <c r="AP157" s="697"/>
      <c r="AQ157" s="697"/>
      <c r="AR157" s="697"/>
    </row>
  </sheetData>
  <mergeCells count="2">
    <mergeCell ref="A2:AE2"/>
    <mergeCell ref="AD65:AE65"/>
  </mergeCells>
  <printOptions horizontalCentered="1"/>
  <pageMargins left="0" right="0" top="0.984251968503937" bottom="0.5905511811023623" header="0.5118110236220472" footer="0.31496062992125984"/>
  <pageSetup horizontalDpi="600" verticalDpi="600" orientation="landscape" paperSize="9" scale="49" r:id="rId1"/>
  <headerFooter alignWithMargins="0">
    <oddFooter>&amp;C&amp;14&amp;P+140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3" sqref="A13"/>
    </sheetView>
  </sheetViews>
  <sheetFormatPr defaultColWidth="9.00390625" defaultRowHeight="12.75"/>
  <cols>
    <col min="1" max="1" width="30.375" style="0" customWidth="1"/>
    <col min="2" max="3" width="10.625" style="0" hidden="1" customWidth="1"/>
    <col min="4" max="12" width="10.625" style="0" customWidth="1"/>
  </cols>
  <sheetData>
    <row r="1" spans="1:12" ht="22.5" customHeight="1">
      <c r="A1" t="s">
        <v>3513</v>
      </c>
      <c r="K1" s="1853" t="s">
        <v>3731</v>
      </c>
      <c r="L1" s="1853"/>
    </row>
    <row r="2" spans="1:12" ht="24.75" customHeight="1">
      <c r="A2" s="1951" t="s">
        <v>3740</v>
      </c>
      <c r="B2" s="1951"/>
      <c r="C2" s="1951"/>
      <c r="D2" s="1951"/>
      <c r="E2" s="1951"/>
      <c r="F2" s="1951"/>
      <c r="G2" s="1951"/>
      <c r="H2" s="1951"/>
      <c r="I2" s="1951"/>
      <c r="J2" s="1951"/>
      <c r="K2" s="1951"/>
      <c r="L2" s="1951"/>
    </row>
    <row r="3" spans="1:12" ht="18.75" customHeight="1" thickBot="1">
      <c r="A3" s="393"/>
      <c r="B3" s="393"/>
      <c r="C3" s="393"/>
      <c r="D3" s="393"/>
      <c r="E3" s="393"/>
      <c r="F3" s="395"/>
      <c r="G3" s="393"/>
      <c r="H3" s="395"/>
      <c r="I3" s="393"/>
      <c r="J3" s="395"/>
      <c r="K3" s="393"/>
      <c r="L3" s="271" t="s">
        <v>2575</v>
      </c>
    </row>
    <row r="4" spans="1:12" ht="18" customHeight="1" thickBot="1">
      <c r="A4" s="417"/>
      <c r="B4" s="425" t="s">
        <v>2685</v>
      </c>
      <c r="C4" s="419"/>
      <c r="D4" s="420" t="s">
        <v>2733</v>
      </c>
      <c r="E4" s="420"/>
      <c r="F4" s="420"/>
      <c r="G4" s="420" t="s">
        <v>2687</v>
      </c>
      <c r="H4" s="420"/>
      <c r="I4" s="420"/>
      <c r="J4" s="420"/>
      <c r="K4" s="420"/>
      <c r="L4" s="421"/>
    </row>
    <row r="5" spans="1:12" ht="18" customHeight="1" thickBot="1">
      <c r="A5" s="423"/>
      <c r="B5" s="421"/>
      <c r="C5" s="421"/>
      <c r="D5" s="424" t="s">
        <v>2722</v>
      </c>
      <c r="E5" s="425" t="s">
        <v>2689</v>
      </c>
      <c r="F5" s="419"/>
      <c r="G5" s="425" t="s">
        <v>2690</v>
      </c>
      <c r="H5" s="419"/>
      <c r="I5" s="425" t="s">
        <v>2691</v>
      </c>
      <c r="J5" s="419"/>
      <c r="K5" s="425" t="s">
        <v>2692</v>
      </c>
      <c r="L5" s="419"/>
    </row>
    <row r="6" spans="1:12" ht="18" customHeight="1" thickBot="1">
      <c r="A6" s="427"/>
      <c r="B6" s="428" t="s">
        <v>2584</v>
      </c>
      <c r="C6" s="428" t="s">
        <v>2585</v>
      </c>
      <c r="D6" s="428" t="s">
        <v>2688</v>
      </c>
      <c r="E6" s="429" t="s">
        <v>2586</v>
      </c>
      <c r="F6" s="429" t="s">
        <v>2694</v>
      </c>
      <c r="G6" s="429" t="s">
        <v>2586</v>
      </c>
      <c r="H6" s="429" t="s">
        <v>2695</v>
      </c>
      <c r="I6" s="429" t="s">
        <v>2586</v>
      </c>
      <c r="J6" s="429" t="s">
        <v>2695</v>
      </c>
      <c r="K6" s="429" t="s">
        <v>2586</v>
      </c>
      <c r="L6" s="429" t="s">
        <v>2695</v>
      </c>
    </row>
    <row r="7" spans="1:12" ht="18" customHeight="1">
      <c r="A7" s="575" t="s">
        <v>2734</v>
      </c>
      <c r="B7" s="576">
        <f>39788727-10810</f>
        <v>39777917</v>
      </c>
      <c r="C7" s="576">
        <f>40175104-11421</f>
        <v>40163683</v>
      </c>
      <c r="D7" s="577">
        <f>E7+G7+I7+K7</f>
        <v>42829814.230000004</v>
      </c>
      <c r="E7" s="576">
        <v>7436559.6</v>
      </c>
      <c r="F7" s="578">
        <f>E7*100/D7</f>
        <v>17.363044257126585</v>
      </c>
      <c r="G7" s="576">
        <v>10285220.18</v>
      </c>
      <c r="H7" s="578">
        <f>G7*100/D7</f>
        <v>24.014160147339027</v>
      </c>
      <c r="I7" s="576">
        <v>9850728.56</v>
      </c>
      <c r="J7" s="578">
        <f>I7*100/D7</f>
        <v>22.999699478266916</v>
      </c>
      <c r="K7" s="576">
        <v>15257305.89</v>
      </c>
      <c r="L7" s="578">
        <f>K7*100/D7</f>
        <v>35.623096117267465</v>
      </c>
    </row>
    <row r="8" spans="1:12" ht="18" customHeight="1">
      <c r="A8" s="579" t="s">
        <v>2735</v>
      </c>
      <c r="B8" s="454">
        <v>3739062</v>
      </c>
      <c r="C8" s="454">
        <v>4211023</v>
      </c>
      <c r="D8" s="454">
        <f>E8+G8+I8+K8</f>
        <v>4819478.6</v>
      </c>
      <c r="E8" s="454">
        <v>399639.4</v>
      </c>
      <c r="F8" s="580">
        <f>E8*100/D8</f>
        <v>8.292170858482493</v>
      </c>
      <c r="G8" s="454">
        <v>462828.8</v>
      </c>
      <c r="H8" s="580">
        <f>G8*100/D8</f>
        <v>9.603296090992085</v>
      </c>
      <c r="I8" s="454">
        <v>961991.4</v>
      </c>
      <c r="J8" s="580">
        <f>I8*100/D8</f>
        <v>19.960487012018273</v>
      </c>
      <c r="K8" s="454">
        <v>2995019</v>
      </c>
      <c r="L8" s="580">
        <f>K8*100/D8</f>
        <v>62.144046038507156</v>
      </c>
    </row>
    <row r="9" spans="1:12" ht="18" customHeight="1" thickBot="1">
      <c r="A9" s="579" t="s">
        <v>2736</v>
      </c>
      <c r="B9" s="454">
        <v>19100</v>
      </c>
      <c r="C9" s="454">
        <v>19841</v>
      </c>
      <c r="D9" s="442">
        <f>E9+G9+I9+K9</f>
        <v>19906.17</v>
      </c>
      <c r="E9" s="454">
        <v>190.5</v>
      </c>
      <c r="F9" s="580">
        <f>E9*100/D9</f>
        <v>0.9569897172585184</v>
      </c>
      <c r="G9" s="454">
        <v>1627.72</v>
      </c>
      <c r="H9" s="580">
        <f>G9*100/D9</f>
        <v>8.176962218246906</v>
      </c>
      <c r="I9" s="454">
        <v>5079.64</v>
      </c>
      <c r="J9" s="580">
        <f>I9*100/D9</f>
        <v>25.517917309055438</v>
      </c>
      <c r="K9" s="454">
        <v>13008.31</v>
      </c>
      <c r="L9" s="580">
        <f>K9*100/D9</f>
        <v>65.34813075543914</v>
      </c>
    </row>
    <row r="10" spans="1:12" ht="18" customHeight="1" thickBot="1">
      <c r="A10" s="581" t="s">
        <v>2737</v>
      </c>
      <c r="B10" s="531">
        <f>SUM(B7:B9)</f>
        <v>43536079</v>
      </c>
      <c r="C10" s="531">
        <f>SUM(C7:C9)</f>
        <v>44394547</v>
      </c>
      <c r="D10" s="531">
        <f>SUM(D7:D9)</f>
        <v>47669199.00000001</v>
      </c>
      <c r="E10" s="531">
        <f>SUM(E7:E9)</f>
        <v>7836389.5</v>
      </c>
      <c r="F10" s="582">
        <f>E10*100/D10</f>
        <v>16.43910463022464</v>
      </c>
      <c r="G10" s="531">
        <f>SUM(G7:G9)</f>
        <v>10749676.700000001</v>
      </c>
      <c r="H10" s="582">
        <f>G10*100/D10</f>
        <v>22.55057128188791</v>
      </c>
      <c r="I10" s="531">
        <f>SUM(I7:I9)</f>
        <v>10817799.600000001</v>
      </c>
      <c r="J10" s="582">
        <f>I10*100/D10</f>
        <v>22.693478864622836</v>
      </c>
      <c r="K10" s="531">
        <f>SUM(K7:K9)</f>
        <v>18265333.2</v>
      </c>
      <c r="L10" s="582">
        <f>K10*100/D10</f>
        <v>38.3168452232646</v>
      </c>
    </row>
    <row r="11" spans="1:12" ht="18" customHeight="1">
      <c r="A11" s="537"/>
      <c r="B11" s="393"/>
      <c r="C11" s="393"/>
      <c r="D11" s="393"/>
      <c r="E11" s="393"/>
      <c r="F11" s="395"/>
      <c r="G11" s="393"/>
      <c r="H11" s="395"/>
      <c r="I11" s="393"/>
      <c r="J11" s="395"/>
      <c r="K11" s="393"/>
      <c r="L11" s="395"/>
    </row>
    <row r="12" ht="18" customHeight="1">
      <c r="A12" s="170" t="s">
        <v>2717</v>
      </c>
    </row>
    <row r="13" spans="1:12" ht="18" customHeight="1">
      <c r="A13" s="1258" t="s">
        <v>3803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</row>
    <row r="14" ht="18" customHeight="1">
      <c r="A14" t="s">
        <v>2720</v>
      </c>
    </row>
    <row r="17" spans="1:12" ht="15">
      <c r="A17" t="s">
        <v>3746</v>
      </c>
      <c r="G17" s="144" t="s">
        <v>3602</v>
      </c>
      <c r="H17" s="50"/>
      <c r="I17" s="50"/>
      <c r="J17" s="50"/>
      <c r="K17" s="1952" t="s">
        <v>3510</v>
      </c>
      <c r="L17" s="1952"/>
    </row>
  </sheetData>
  <mergeCells count="3">
    <mergeCell ref="K1:L1"/>
    <mergeCell ref="A2:L2"/>
    <mergeCell ref="K17:L1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&amp;C&amp;P+141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workbookViewId="0" topLeftCell="E1">
      <selection activeCell="E14" sqref="E14"/>
    </sheetView>
  </sheetViews>
  <sheetFormatPr defaultColWidth="9.00390625" defaultRowHeight="12.75"/>
  <cols>
    <col min="1" max="1" width="5.375" style="0" customWidth="1"/>
    <col min="2" max="2" width="27.375" style="0" customWidth="1"/>
    <col min="3" max="3" width="13.875" style="0" hidden="1" customWidth="1"/>
    <col min="4" max="4" width="13.00390625" style="0" hidden="1" customWidth="1"/>
    <col min="5" max="5" width="14.125" style="0" customWidth="1"/>
    <col min="6" max="6" width="12.875" style="0" customWidth="1"/>
    <col min="7" max="7" width="8.50390625" style="0" customWidth="1"/>
    <col min="8" max="8" width="12.50390625" style="0" customWidth="1"/>
    <col min="9" max="9" width="9.50390625" style="0" customWidth="1"/>
    <col min="10" max="10" width="12.375" style="0" customWidth="1"/>
    <col min="11" max="11" width="8.375" style="0" customWidth="1"/>
    <col min="12" max="12" width="13.125" style="0" customWidth="1"/>
    <col min="13" max="13" width="8.00390625" style="0" customWidth="1"/>
    <col min="14" max="14" width="0" style="0" hidden="1" customWidth="1"/>
    <col min="16" max="16" width="10.375" style="0" customWidth="1"/>
  </cols>
  <sheetData>
    <row r="1" spans="2:14" ht="13.5">
      <c r="B1" s="1682" t="s">
        <v>3513</v>
      </c>
      <c r="L1" s="1954" t="s">
        <v>3733</v>
      </c>
      <c r="M1" s="1954"/>
      <c r="N1" s="271"/>
    </row>
    <row r="2" spans="2:14" ht="17.25">
      <c r="B2" s="1854" t="s">
        <v>3741</v>
      </c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271"/>
    </row>
    <row r="3" spans="2:14" ht="18" customHeight="1" thickBot="1">
      <c r="B3" s="266"/>
      <c r="M3" s="271" t="s">
        <v>2575</v>
      </c>
      <c r="N3" s="271" t="s">
        <v>2575</v>
      </c>
    </row>
    <row r="4" spans="2:14" ht="18" customHeight="1" thickBot="1">
      <c r="B4" s="417"/>
      <c r="C4" s="418" t="s">
        <v>2685</v>
      </c>
      <c r="D4" s="419"/>
      <c r="E4" s="420" t="s">
        <v>2686</v>
      </c>
      <c r="F4" s="420"/>
      <c r="G4" s="420"/>
      <c r="H4" s="420" t="s">
        <v>2687</v>
      </c>
      <c r="I4" s="420"/>
      <c r="J4" s="420"/>
      <c r="K4" s="420"/>
      <c r="L4" s="420"/>
      <c r="M4" s="421"/>
      <c r="N4" s="422"/>
    </row>
    <row r="5" spans="2:14" ht="18" customHeight="1" thickBot="1">
      <c r="B5" s="423" t="s">
        <v>2583</v>
      </c>
      <c r="C5" s="421"/>
      <c r="D5" s="421"/>
      <c r="E5" s="424" t="s">
        <v>2688</v>
      </c>
      <c r="F5" s="425" t="s">
        <v>2689</v>
      </c>
      <c r="G5" s="419"/>
      <c r="H5" s="425" t="s">
        <v>2690</v>
      </c>
      <c r="I5" s="419"/>
      <c r="J5" s="425" t="s">
        <v>2691</v>
      </c>
      <c r="K5" s="419"/>
      <c r="L5" s="425" t="s">
        <v>2692</v>
      </c>
      <c r="M5" s="419"/>
      <c r="N5" s="426" t="s">
        <v>2693</v>
      </c>
    </row>
    <row r="6" spans="2:14" ht="18" customHeight="1" thickBot="1">
      <c r="B6" s="427"/>
      <c r="C6" s="424" t="s">
        <v>2584</v>
      </c>
      <c r="D6" s="428" t="s">
        <v>2585</v>
      </c>
      <c r="E6" s="428"/>
      <c r="F6" s="429" t="s">
        <v>2586</v>
      </c>
      <c r="G6" s="429" t="s">
        <v>2694</v>
      </c>
      <c r="H6" s="429" t="s">
        <v>2586</v>
      </c>
      <c r="I6" s="429" t="s">
        <v>2695</v>
      </c>
      <c r="J6" s="430" t="s">
        <v>2586</v>
      </c>
      <c r="K6" s="429" t="s">
        <v>2695</v>
      </c>
      <c r="L6" s="430" t="s">
        <v>2586</v>
      </c>
      <c r="M6" s="429" t="s">
        <v>2695</v>
      </c>
      <c r="N6" s="427" t="s">
        <v>2696</v>
      </c>
    </row>
    <row r="7" spans="2:14" ht="18" customHeight="1">
      <c r="B7" s="431" t="s">
        <v>2641</v>
      </c>
      <c r="C7" s="432">
        <f>26809338+534152-1481361-124575-6900-5720</f>
        <v>25724934</v>
      </c>
      <c r="D7" s="433">
        <f>26812346+551837-1384303-139796-7030-5590</f>
        <v>25827464</v>
      </c>
      <c r="E7" s="434">
        <f>29396005.6-1734726-6560.6</f>
        <v>27654719</v>
      </c>
      <c r="F7" s="435">
        <f>4674396.1-134675.6</f>
        <v>4539720.5</v>
      </c>
      <c r="G7" s="436">
        <f aca="true" t="shared" si="0" ref="G7:G45">F7*100/E7</f>
        <v>16.41571733200399</v>
      </c>
      <c r="H7" s="437">
        <f>11670167.3-276551.3-555.72-134675.6-F7</f>
        <v>6718664.18</v>
      </c>
      <c r="I7" s="438">
        <f>H7*100/E7</f>
        <v>24.29481991843779</v>
      </c>
      <c r="J7" s="437">
        <f>18445755.2-134675.6-276551.3-391686.5-555.72-2857.68-F7-H7</f>
        <v>6381043.719999999</v>
      </c>
      <c r="K7" s="438">
        <f>J7*100/E7</f>
        <v>23.073977790191968</v>
      </c>
      <c r="L7" s="437">
        <f>E7-F7-H7-J7</f>
        <v>10015290.600000001</v>
      </c>
      <c r="M7" s="438">
        <f>L7*100/E7</f>
        <v>36.21548495936625</v>
      </c>
      <c r="N7" s="439">
        <f>E7*100/D7</f>
        <v>107.07485256779373</v>
      </c>
    </row>
    <row r="8" spans="2:14" ht="18" customHeight="1">
      <c r="B8" s="440" t="s">
        <v>2697</v>
      </c>
      <c r="C8" s="441">
        <f>6984881-820862-240-1176</f>
        <v>6162603</v>
      </c>
      <c r="D8" s="442">
        <f>7158927-1040429-240-1711</f>
        <v>6116547</v>
      </c>
      <c r="E8" s="443">
        <f>8109841.4-1366424-1674</f>
        <v>6741743.4</v>
      </c>
      <c r="F8" s="444">
        <f>1664646.5-179691.9</f>
        <v>1484954.6</v>
      </c>
      <c r="G8" s="436">
        <f t="shared" si="0"/>
        <v>22.02626994079899</v>
      </c>
      <c r="H8" s="445">
        <f>3338383.7-76490.7-179691.9-49-F8</f>
        <v>1597197.5</v>
      </c>
      <c r="I8" s="438">
        <f>H8*100/E8</f>
        <v>23.691164217255732</v>
      </c>
      <c r="J8" s="445">
        <f>5232409.9-179691.9-76490.7-309538.9-49-860-F8-H8</f>
        <v>1583627.2999999993</v>
      </c>
      <c r="K8" s="438">
        <f aca="true" t="shared" si="1" ref="K8:K45">J8*100/E8</f>
        <v>23.489878003959618</v>
      </c>
      <c r="L8" s="445">
        <f>E8-F8-H8-J8</f>
        <v>2075964.0000000014</v>
      </c>
      <c r="M8" s="438">
        <f aca="true" t="shared" si="2" ref="M8:M45">L8*100/E8</f>
        <v>30.792687837985667</v>
      </c>
      <c r="N8" s="439">
        <f>E8*100/D8</f>
        <v>110.22139452210537</v>
      </c>
    </row>
    <row r="9" spans="2:14" ht="18" customHeight="1">
      <c r="B9" s="446" t="s">
        <v>2644</v>
      </c>
      <c r="C9" s="447">
        <f>87493-17200</f>
        <v>70293</v>
      </c>
      <c r="D9" s="448">
        <f>214770-22200</f>
        <v>192570</v>
      </c>
      <c r="E9" s="449">
        <f>199477.1-16138.1</f>
        <v>183339</v>
      </c>
      <c r="F9" s="450">
        <f>41415.2</f>
        <v>41415.2</v>
      </c>
      <c r="G9" s="436">
        <f t="shared" si="0"/>
        <v>22.58941087275484</v>
      </c>
      <c r="H9" s="451">
        <f>82377.5-1782.9-F9</f>
        <v>39179.40000000001</v>
      </c>
      <c r="I9" s="438">
        <f>H9*100/E9</f>
        <v>21.369921293341847</v>
      </c>
      <c r="J9" s="451">
        <f>126635.2-1782.9-7590.8-F9-H9</f>
        <v>36666.899999999994</v>
      </c>
      <c r="K9" s="438">
        <f t="shared" si="1"/>
        <v>19.999509106082172</v>
      </c>
      <c r="L9" s="445">
        <f>E9-F9-H9-J9</f>
        <v>66077.49999999999</v>
      </c>
      <c r="M9" s="438">
        <f t="shared" si="2"/>
        <v>36.04115872782113</v>
      </c>
      <c r="N9" s="452">
        <f>E9*100/D9</f>
        <v>95.20641844524069</v>
      </c>
    </row>
    <row r="10" spans="2:14" ht="18" customHeight="1">
      <c r="B10" s="440" t="s">
        <v>2645</v>
      </c>
      <c r="C10" s="453">
        <f>813043-146188-1000-2564</f>
        <v>663291</v>
      </c>
      <c r="D10" s="454">
        <f>720660-161874-1000-2729+2</f>
        <v>555059</v>
      </c>
      <c r="E10" s="455">
        <f>780715.9-218250.6-9589.87</f>
        <v>552875.43</v>
      </c>
      <c r="F10" s="456">
        <f>131151.6-55000-189</f>
        <v>75962.6</v>
      </c>
      <c r="G10" s="436">
        <f t="shared" si="0"/>
        <v>13.739550697704184</v>
      </c>
      <c r="H10" s="457">
        <f>270231.3-11128.6-55000-522-189-F10</f>
        <v>127429.09999999998</v>
      </c>
      <c r="I10" s="438">
        <f>H10*100/E10</f>
        <v>23.04842882961899</v>
      </c>
      <c r="J10" s="457">
        <f>441883.7-55000-11128.6-47942.6-189-522-623-F10-H10</f>
        <v>123086.80000000008</v>
      </c>
      <c r="K10" s="438">
        <f t="shared" si="1"/>
        <v>22.26302586823221</v>
      </c>
      <c r="L10" s="445">
        <f>E10-F10-H10-J10</f>
        <v>226396.93000000002</v>
      </c>
      <c r="M10" s="438">
        <f t="shared" si="2"/>
        <v>40.94899460444462</v>
      </c>
      <c r="N10" s="439">
        <f>E10*100/D10</f>
        <v>99.60660578424998</v>
      </c>
    </row>
    <row r="11" spans="2:14" ht="18" customHeight="1" thickBot="1">
      <c r="B11" s="458" t="s">
        <v>2698</v>
      </c>
      <c r="C11" s="459">
        <f>SUM(C7:C10)</f>
        <v>32621121</v>
      </c>
      <c r="D11" s="460">
        <f aca="true" t="shared" si="3" ref="D11:J11">SUM(D7:D10)</f>
        <v>32691640</v>
      </c>
      <c r="E11" s="461">
        <f t="shared" si="3"/>
        <v>35132676.83</v>
      </c>
      <c r="F11" s="462">
        <f t="shared" si="3"/>
        <v>6142052.899999999</v>
      </c>
      <c r="G11" s="463">
        <f t="shared" si="0"/>
        <v>17.482450681797367</v>
      </c>
      <c r="H11" s="464">
        <f t="shared" si="3"/>
        <v>8482470.18</v>
      </c>
      <c r="I11" s="465">
        <f>H11*100/E11</f>
        <v>24.14410442177514</v>
      </c>
      <c r="J11" s="464">
        <f t="shared" si="3"/>
        <v>8124424.719999998</v>
      </c>
      <c r="K11" s="465">
        <f t="shared" si="1"/>
        <v>23.12498065351657</v>
      </c>
      <c r="L11" s="464">
        <f>SUM(L7:L10)</f>
        <v>12383729.030000003</v>
      </c>
      <c r="M11" s="465">
        <f t="shared" si="2"/>
        <v>35.24846424291093</v>
      </c>
      <c r="N11" s="466">
        <f>M11*100/L11</f>
        <v>0.00028463529973500167</v>
      </c>
    </row>
    <row r="12" spans="2:14" ht="18" customHeight="1">
      <c r="B12" s="467" t="s">
        <v>2647</v>
      </c>
      <c r="C12" s="468">
        <f>81707-2770-300</f>
        <v>78637</v>
      </c>
      <c r="D12" s="469">
        <f>81786-3204-841</f>
        <v>77741</v>
      </c>
      <c r="E12" s="470">
        <f>110162.4-16259-97</f>
        <v>93806.4</v>
      </c>
      <c r="F12" s="471">
        <f>13561.9-1.5</f>
        <v>13560.4</v>
      </c>
      <c r="G12" s="472">
        <f t="shared" si="0"/>
        <v>14.455730099438846</v>
      </c>
      <c r="H12" s="473">
        <f>43736-2043.6-1.5-F12</f>
        <v>28130.5</v>
      </c>
      <c r="I12" s="474">
        <f aca="true" t="shared" si="4" ref="I12:I45">H12*100/E12</f>
        <v>29.987825990550753</v>
      </c>
      <c r="J12" s="473">
        <f>75116.7-2043.6-11754.3-1.5-28.33-F12-H12</f>
        <v>19598.069999999985</v>
      </c>
      <c r="K12" s="474">
        <f t="shared" si="1"/>
        <v>20.89203934912755</v>
      </c>
      <c r="L12" s="445">
        <f aca="true" t="shared" si="5" ref="L12:L19">E12-F12-H12-J12</f>
        <v>32517.430000000015</v>
      </c>
      <c r="M12" s="474">
        <f t="shared" si="2"/>
        <v>34.66440456088286</v>
      </c>
      <c r="N12" s="439">
        <f aca="true" t="shared" si="6" ref="N12:N19">E12*100/D12</f>
        <v>120.6652860138151</v>
      </c>
    </row>
    <row r="13" spans="2:14" ht="18" customHeight="1">
      <c r="B13" s="467" t="s">
        <v>2648</v>
      </c>
      <c r="C13" s="475">
        <f>62665-5885</f>
        <v>56780</v>
      </c>
      <c r="D13" s="476">
        <f>71811-5885</f>
        <v>65926</v>
      </c>
      <c r="E13" s="477">
        <f>80330.1-5320.9</f>
        <v>75009.20000000001</v>
      </c>
      <c r="F13" s="478">
        <f>13112</f>
        <v>13112</v>
      </c>
      <c r="G13" s="436">
        <f t="shared" si="0"/>
        <v>17.480522389253583</v>
      </c>
      <c r="H13" s="479">
        <f>29519.9-F13</f>
        <v>16407.9</v>
      </c>
      <c r="I13" s="438">
        <f t="shared" si="4"/>
        <v>21.874516725948283</v>
      </c>
      <c r="J13" s="479">
        <f>47550.8-1042.9-F13-H13</f>
        <v>16988</v>
      </c>
      <c r="K13" s="438">
        <f t="shared" si="1"/>
        <v>22.64788852567418</v>
      </c>
      <c r="L13" s="445">
        <f t="shared" si="5"/>
        <v>28501.30000000001</v>
      </c>
      <c r="M13" s="438">
        <f t="shared" si="2"/>
        <v>37.997072359123955</v>
      </c>
      <c r="N13" s="452">
        <f t="shared" si="6"/>
        <v>113.77787215969421</v>
      </c>
    </row>
    <row r="14" spans="2:14" ht="18" customHeight="1">
      <c r="B14" s="467" t="s">
        <v>2649</v>
      </c>
      <c r="C14" s="475">
        <f>42194-1530</f>
        <v>40664</v>
      </c>
      <c r="D14" s="476">
        <f>48772-1594</f>
        <v>47178</v>
      </c>
      <c r="E14" s="477">
        <f>53968.6-2825</f>
        <v>51143.6</v>
      </c>
      <c r="F14" s="478">
        <f>7944.5</f>
        <v>7944.5</v>
      </c>
      <c r="G14" s="436">
        <f t="shared" si="0"/>
        <v>15.533712918136384</v>
      </c>
      <c r="H14" s="479">
        <f>20011-F14</f>
        <v>12066.5</v>
      </c>
      <c r="I14" s="438">
        <f t="shared" si="4"/>
        <v>23.5933723867698</v>
      </c>
      <c r="J14" s="479">
        <f>34048.3-2630.8-F14-H14</f>
        <v>11406.500000000004</v>
      </c>
      <c r="K14" s="438">
        <f t="shared" si="1"/>
        <v>22.302888337934768</v>
      </c>
      <c r="L14" s="445">
        <f t="shared" si="5"/>
        <v>19726.099999999995</v>
      </c>
      <c r="M14" s="438">
        <f t="shared" si="2"/>
        <v>38.57002635715905</v>
      </c>
      <c r="N14" s="452">
        <f t="shared" si="6"/>
        <v>108.40561278562042</v>
      </c>
    </row>
    <row r="15" spans="2:14" ht="18" customHeight="1">
      <c r="B15" s="467" t="s">
        <v>2650</v>
      </c>
      <c r="C15" s="475">
        <f>48565-2181</f>
        <v>46384</v>
      </c>
      <c r="D15" s="476">
        <f>61978-2446</f>
        <v>59532</v>
      </c>
      <c r="E15" s="477">
        <f>62929.1-3570</f>
        <v>59359.1</v>
      </c>
      <c r="F15" s="478">
        <f>8940.6</f>
        <v>8940.6</v>
      </c>
      <c r="G15" s="436">
        <f t="shared" si="0"/>
        <v>15.061886046115928</v>
      </c>
      <c r="H15" s="479">
        <f>24483.3-1205.9-F15</f>
        <v>14336.799999999997</v>
      </c>
      <c r="I15" s="438">
        <f t="shared" si="4"/>
        <v>24.152657301070935</v>
      </c>
      <c r="J15" s="479">
        <f>38849.8-1205.9-98.5-F15-H15</f>
        <v>14268.000000000005</v>
      </c>
      <c r="K15" s="438">
        <f t="shared" si="1"/>
        <v>24.036752578795845</v>
      </c>
      <c r="L15" s="445">
        <f t="shared" si="5"/>
        <v>21813.699999999997</v>
      </c>
      <c r="M15" s="438">
        <f t="shared" si="2"/>
        <v>36.74870407401729</v>
      </c>
      <c r="N15" s="452">
        <f t="shared" si="6"/>
        <v>99.70956796344824</v>
      </c>
    </row>
    <row r="16" spans="2:14" ht="18" customHeight="1">
      <c r="B16" s="446" t="s">
        <v>2651</v>
      </c>
      <c r="C16" s="480">
        <f>70675-20843</f>
        <v>49832</v>
      </c>
      <c r="D16" s="476">
        <f>76111-20844</f>
        <v>55267</v>
      </c>
      <c r="E16" s="477">
        <f>79408.5-24039.2-132</f>
        <v>55237.3</v>
      </c>
      <c r="F16" s="478">
        <f>9805.9-813.4</f>
        <v>8992.5</v>
      </c>
      <c r="G16" s="436">
        <f t="shared" si="0"/>
        <v>16.279760234479237</v>
      </c>
      <c r="H16" s="479">
        <f>26012.8-3280.2-813.4-0.53-F16</f>
        <v>12926.169999999998</v>
      </c>
      <c r="I16" s="438">
        <f t="shared" si="4"/>
        <v>23.401161896037635</v>
      </c>
      <c r="J16" s="479">
        <f>43304.9-813.4-3280.2-3133.4-0.53-4.52-F16-H16</f>
        <v>14154.180000000008</v>
      </c>
      <c r="K16" s="438">
        <f t="shared" si="1"/>
        <v>25.62431545350697</v>
      </c>
      <c r="L16" s="445">
        <f t="shared" si="5"/>
        <v>19164.449999999997</v>
      </c>
      <c r="M16" s="438">
        <f t="shared" si="2"/>
        <v>34.69476241597616</v>
      </c>
      <c r="N16" s="439">
        <f t="shared" si="6"/>
        <v>99.94626087900555</v>
      </c>
    </row>
    <row r="17" spans="2:14" ht="18" customHeight="1">
      <c r="B17" s="467" t="s">
        <v>2652</v>
      </c>
      <c r="C17" s="475">
        <f>66232-12580</f>
        <v>53652</v>
      </c>
      <c r="D17" s="476">
        <f>75087-12583</f>
        <v>62504</v>
      </c>
      <c r="E17" s="477">
        <f>71493.1-3667.3</f>
        <v>67825.8</v>
      </c>
      <c r="F17" s="478">
        <f>13265.3</f>
        <v>13265.3</v>
      </c>
      <c r="G17" s="436">
        <f t="shared" si="0"/>
        <v>19.557896847512303</v>
      </c>
      <c r="H17" s="479">
        <f>28226.9-30-F17</f>
        <v>14931.600000000002</v>
      </c>
      <c r="I17" s="438">
        <f t="shared" si="4"/>
        <v>22.014631600364467</v>
      </c>
      <c r="J17" s="479">
        <f>43813.6-30-1048.2-F17-H17</f>
        <v>14538.5</v>
      </c>
      <c r="K17" s="438">
        <f t="shared" si="1"/>
        <v>21.435058635504483</v>
      </c>
      <c r="L17" s="445">
        <f t="shared" si="5"/>
        <v>25090.399999999994</v>
      </c>
      <c r="M17" s="438">
        <f t="shared" si="2"/>
        <v>36.99241291661874</v>
      </c>
      <c r="N17" s="452">
        <f t="shared" si="6"/>
        <v>108.51433508255472</v>
      </c>
    </row>
    <row r="18" spans="2:14" ht="18" customHeight="1">
      <c r="B18" s="467" t="s">
        <v>2653</v>
      </c>
      <c r="C18" s="475">
        <f>112544-24504</f>
        <v>88040</v>
      </c>
      <c r="D18" s="476">
        <f>128778-24504</f>
        <v>104274</v>
      </c>
      <c r="E18" s="477">
        <f>177182.2-65896.6</f>
        <v>111285.6</v>
      </c>
      <c r="F18" s="478">
        <f>19792.6-1956.1</f>
        <v>17836.5</v>
      </c>
      <c r="G18" s="436">
        <f t="shared" si="0"/>
        <v>16.027680131122086</v>
      </c>
      <c r="H18" s="479">
        <f>53457.1-8223.1-1956.1-F18</f>
        <v>25441.4</v>
      </c>
      <c r="I18" s="438">
        <f t="shared" si="4"/>
        <v>22.861358522576147</v>
      </c>
      <c r="J18" s="479">
        <f>110886.1-1956.1-8223.1-32581.5-F18-H18</f>
        <v>24847.499999999993</v>
      </c>
      <c r="K18" s="438">
        <f t="shared" si="1"/>
        <v>22.32768660096184</v>
      </c>
      <c r="L18" s="445">
        <f t="shared" si="5"/>
        <v>43160.20000000002</v>
      </c>
      <c r="M18" s="438">
        <f t="shared" si="2"/>
        <v>38.78327474533993</v>
      </c>
      <c r="N18" s="452">
        <f t="shared" si="6"/>
        <v>106.72420737671902</v>
      </c>
    </row>
    <row r="19" spans="2:14" ht="18" customHeight="1">
      <c r="B19" s="467" t="s">
        <v>2699</v>
      </c>
      <c r="C19" s="475">
        <f>91236-20314</f>
        <v>70922</v>
      </c>
      <c r="D19" s="476">
        <f>104098-20743</f>
        <v>83355</v>
      </c>
      <c r="E19" s="477">
        <f>107099.4-14517</f>
        <v>92582.4</v>
      </c>
      <c r="F19" s="478">
        <f>15692.8</f>
        <v>15692.8</v>
      </c>
      <c r="G19" s="436">
        <f t="shared" si="0"/>
        <v>16.950089865892437</v>
      </c>
      <c r="H19" s="479">
        <f>34578.1-1089.8-F19</f>
        <v>17795.499999999996</v>
      </c>
      <c r="I19" s="438">
        <f t="shared" si="4"/>
        <v>19.221255875846808</v>
      </c>
      <c r="J19" s="479">
        <f>57524.5-1089.8-1389.5-F19-H19</f>
        <v>21556.899999999998</v>
      </c>
      <c r="K19" s="438">
        <f t="shared" si="1"/>
        <v>23.284015104382693</v>
      </c>
      <c r="L19" s="445">
        <f t="shared" si="5"/>
        <v>37537.2</v>
      </c>
      <c r="M19" s="438">
        <f t="shared" si="2"/>
        <v>40.54463915387806</v>
      </c>
      <c r="N19" s="452">
        <f t="shared" si="6"/>
        <v>111.07000179953212</v>
      </c>
    </row>
    <row r="20" spans="2:14" ht="18" customHeight="1" thickBot="1">
      <c r="B20" s="458" t="s">
        <v>2700</v>
      </c>
      <c r="C20" s="481">
        <f>SUM(C12:C19)</f>
        <v>484911</v>
      </c>
      <c r="D20" s="482">
        <f aca="true" t="shared" si="7" ref="D20:J20">SUM(D12:D19)</f>
        <v>555777</v>
      </c>
      <c r="E20" s="483">
        <f t="shared" si="7"/>
        <v>606249.4</v>
      </c>
      <c r="F20" s="484">
        <f t="shared" si="7"/>
        <v>99344.6</v>
      </c>
      <c r="G20" s="463">
        <f t="shared" si="0"/>
        <v>16.386754362148647</v>
      </c>
      <c r="H20" s="485">
        <f t="shared" si="7"/>
        <v>142036.37</v>
      </c>
      <c r="I20" s="465">
        <f t="shared" si="4"/>
        <v>23.428702774798623</v>
      </c>
      <c r="J20" s="485">
        <f t="shared" si="7"/>
        <v>137357.65</v>
      </c>
      <c r="K20" s="465">
        <f t="shared" si="1"/>
        <v>22.65695438214042</v>
      </c>
      <c r="L20" s="485">
        <f>SUM(L12:L19)</f>
        <v>227510.78000000003</v>
      </c>
      <c r="M20" s="465">
        <f t="shared" si="2"/>
        <v>37.527588480912314</v>
      </c>
      <c r="N20" s="466">
        <f>E20*100/D20</f>
        <v>109.08141214911736</v>
      </c>
    </row>
    <row r="21" spans="2:14" ht="18" customHeight="1">
      <c r="B21" s="446" t="s">
        <v>2655</v>
      </c>
      <c r="C21" s="453">
        <f>200452-5300</f>
        <v>195152</v>
      </c>
      <c r="D21" s="454">
        <f>200690-5453</f>
        <v>195237</v>
      </c>
      <c r="E21" s="455">
        <f>213226.5-7799.6</f>
        <v>205426.9</v>
      </c>
      <c r="F21" s="456">
        <f>32997.6</f>
        <v>32997.6</v>
      </c>
      <c r="G21" s="472">
        <f t="shared" si="0"/>
        <v>16.06294015048662</v>
      </c>
      <c r="H21" s="457">
        <f>87261.3-1543.9-F21</f>
        <v>52719.80000000001</v>
      </c>
      <c r="I21" s="474">
        <f t="shared" si="4"/>
        <v>25.663532867409288</v>
      </c>
      <c r="J21" s="457">
        <f>133935.1-1543.9-1526.8-F21-H21</f>
        <v>45147.00000000001</v>
      </c>
      <c r="K21" s="474">
        <f t="shared" si="1"/>
        <v>21.977160732114445</v>
      </c>
      <c r="L21" s="445">
        <f aca="true" t="shared" si="8" ref="L21:L26">E21-F21-H21-J21</f>
        <v>74562.49999999997</v>
      </c>
      <c r="M21" s="474">
        <f t="shared" si="2"/>
        <v>36.296366249989646</v>
      </c>
      <c r="N21" s="486">
        <f aca="true" t="shared" si="9" ref="N21:N45">E21*100/D21</f>
        <v>105.21924635186978</v>
      </c>
    </row>
    <row r="22" spans="2:14" ht="18" customHeight="1">
      <c r="B22" s="446" t="s">
        <v>2656</v>
      </c>
      <c r="C22" s="453">
        <f>126414-5300</f>
        <v>121114</v>
      </c>
      <c r="D22" s="454">
        <f>132400-6036</f>
        <v>126364</v>
      </c>
      <c r="E22" s="455">
        <f>135922.1-12347</f>
        <v>123575.1</v>
      </c>
      <c r="F22" s="456">
        <f>22237.7-1655.2</f>
        <v>20582.5</v>
      </c>
      <c r="G22" s="436">
        <f t="shared" si="0"/>
        <v>16.655863519430692</v>
      </c>
      <c r="H22" s="457">
        <f>55996.7-2789.3-1655.2-F22</f>
        <v>30969.699999999997</v>
      </c>
      <c r="I22" s="438">
        <f t="shared" si="4"/>
        <v>25.06144037107799</v>
      </c>
      <c r="J22" s="457">
        <f>89387.2-1655.2-2789.3-7244-F22-H22</f>
        <v>26146.5</v>
      </c>
      <c r="K22" s="438">
        <f t="shared" si="1"/>
        <v>21.15838870452057</v>
      </c>
      <c r="L22" s="445">
        <f t="shared" si="8"/>
        <v>45876.40000000001</v>
      </c>
      <c r="M22" s="438">
        <f t="shared" si="2"/>
        <v>37.12430740497075</v>
      </c>
      <c r="N22" s="452">
        <f t="shared" si="9"/>
        <v>97.79296318571745</v>
      </c>
    </row>
    <row r="23" spans="2:14" ht="18" customHeight="1">
      <c r="B23" s="446" t="s">
        <v>2589</v>
      </c>
      <c r="C23" s="453">
        <f>154167-11716</f>
        <v>142451</v>
      </c>
      <c r="D23" s="454">
        <f>161884-18472</f>
        <v>143412</v>
      </c>
      <c r="E23" s="455">
        <f>157502.7-10389.4</f>
        <v>147113.30000000002</v>
      </c>
      <c r="F23" s="456">
        <f>25200.5</f>
        <v>25200.5</v>
      </c>
      <c r="G23" s="436">
        <f t="shared" si="0"/>
        <v>17.12999436488747</v>
      </c>
      <c r="H23" s="457">
        <f>61415.8-40-F23</f>
        <v>36175.3</v>
      </c>
      <c r="I23" s="438">
        <f t="shared" si="4"/>
        <v>24.59009484526552</v>
      </c>
      <c r="J23" s="457">
        <f>104156.1-40-8329.1-F23-H23</f>
        <v>34411.2</v>
      </c>
      <c r="K23" s="438">
        <f t="shared" si="1"/>
        <v>23.390951056090774</v>
      </c>
      <c r="L23" s="445">
        <f t="shared" si="8"/>
        <v>51326.30000000002</v>
      </c>
      <c r="M23" s="438">
        <f t="shared" si="2"/>
        <v>34.88895973375624</v>
      </c>
      <c r="N23" s="452">
        <f t="shared" si="9"/>
        <v>102.58088583939978</v>
      </c>
    </row>
    <row r="24" spans="2:14" ht="18" customHeight="1">
      <c r="B24" s="446" t="s">
        <v>2701</v>
      </c>
      <c r="C24" s="453">
        <f>48756-5300</f>
        <v>43456</v>
      </c>
      <c r="D24" s="454">
        <f>50856-7300</f>
        <v>43556</v>
      </c>
      <c r="E24" s="455">
        <f>51756.9-5698.6</f>
        <v>46058.3</v>
      </c>
      <c r="F24" s="456">
        <f>9231.2-1323.9</f>
        <v>7907.300000000001</v>
      </c>
      <c r="G24" s="436">
        <f t="shared" si="0"/>
        <v>17.168024004359694</v>
      </c>
      <c r="H24" s="457">
        <f>23881.5-1863.2-1323.9-F24</f>
        <v>12787.099999999997</v>
      </c>
      <c r="I24" s="438">
        <f t="shared" si="4"/>
        <v>27.762857074620637</v>
      </c>
      <c r="J24" s="457">
        <f>33970.4-1323.9-1863.2-F24-H24</f>
        <v>10088.900000000003</v>
      </c>
      <c r="K24" s="438">
        <f t="shared" si="1"/>
        <v>21.904629567309264</v>
      </c>
      <c r="L24" s="445">
        <f t="shared" si="8"/>
        <v>15274.999999999998</v>
      </c>
      <c r="M24" s="438">
        <f t="shared" si="2"/>
        <v>33.1644893537104</v>
      </c>
      <c r="N24" s="452">
        <f t="shared" si="9"/>
        <v>105.74501790798053</v>
      </c>
    </row>
    <row r="25" spans="2:14" ht="18" customHeight="1">
      <c r="B25" s="446" t="s">
        <v>2657</v>
      </c>
      <c r="C25" s="453">
        <f>43543-3900</f>
        <v>39643</v>
      </c>
      <c r="D25" s="454">
        <f>48813-4367</f>
        <v>44446</v>
      </c>
      <c r="E25" s="455">
        <f>68736.2-23860</f>
        <v>44876.2</v>
      </c>
      <c r="F25" s="456">
        <f>6639.7</f>
        <v>6639.7</v>
      </c>
      <c r="G25" s="436">
        <f t="shared" si="0"/>
        <v>14.795593209763751</v>
      </c>
      <c r="H25" s="457">
        <f>16296.5-239.5-F25</f>
        <v>9417.3</v>
      </c>
      <c r="I25" s="438">
        <f t="shared" si="4"/>
        <v>20.98506558041902</v>
      </c>
      <c r="J25" s="457">
        <f>28763.2-239.5-4081.6-F25-H25</f>
        <v>8385.100000000002</v>
      </c>
      <c r="K25" s="438">
        <f t="shared" si="1"/>
        <v>18.684959956502563</v>
      </c>
      <c r="L25" s="445">
        <f t="shared" si="8"/>
        <v>20434.1</v>
      </c>
      <c r="M25" s="438">
        <f t="shared" si="2"/>
        <v>45.53438125331467</v>
      </c>
      <c r="N25" s="452">
        <f t="shared" si="9"/>
        <v>100.96791612293569</v>
      </c>
    </row>
    <row r="26" spans="2:14" ht="18" customHeight="1">
      <c r="B26" s="446" t="s">
        <v>2592</v>
      </c>
      <c r="C26" s="453">
        <f>17509-1800</f>
        <v>15709</v>
      </c>
      <c r="D26" s="454">
        <f>18114-1780</f>
        <v>16334</v>
      </c>
      <c r="E26" s="455">
        <f>19315.3-2600</f>
        <v>16715.3</v>
      </c>
      <c r="F26" s="456">
        <f>2788.1</f>
        <v>2788.1</v>
      </c>
      <c r="G26" s="436">
        <f t="shared" si="0"/>
        <v>16.679927970183005</v>
      </c>
      <c r="H26" s="457">
        <f>6941.7-340.5-F26</f>
        <v>3813.1</v>
      </c>
      <c r="I26" s="438">
        <f t="shared" si="4"/>
        <v>22.812034483377506</v>
      </c>
      <c r="J26" s="457">
        <f>11569.5-340.5-859.6-F26-H26</f>
        <v>3768.1999999999994</v>
      </c>
      <c r="K26" s="438">
        <f t="shared" si="1"/>
        <v>22.543418305384883</v>
      </c>
      <c r="L26" s="445">
        <f t="shared" si="8"/>
        <v>6345.9</v>
      </c>
      <c r="M26" s="438">
        <f t="shared" si="2"/>
        <v>37.964619241054606</v>
      </c>
      <c r="N26" s="452">
        <f t="shared" si="9"/>
        <v>102.33439451450961</v>
      </c>
    </row>
    <row r="27" spans="2:14" ht="18" customHeight="1">
      <c r="B27" s="487" t="s">
        <v>2702</v>
      </c>
      <c r="C27" s="488">
        <f>SUM(C21:C26)</f>
        <v>557525</v>
      </c>
      <c r="D27" s="454">
        <f aca="true" t="shared" si="10" ref="D27:J27">SUM(D21:D26)</f>
        <v>569349</v>
      </c>
      <c r="E27" s="455">
        <f t="shared" si="10"/>
        <v>583765.1000000001</v>
      </c>
      <c r="F27" s="456">
        <f t="shared" si="10"/>
        <v>96115.70000000001</v>
      </c>
      <c r="G27" s="436">
        <f t="shared" si="0"/>
        <v>16.464790375443823</v>
      </c>
      <c r="H27" s="457">
        <f t="shared" si="10"/>
        <v>145882.3</v>
      </c>
      <c r="I27" s="438">
        <f t="shared" si="4"/>
        <v>24.98989747759843</v>
      </c>
      <c r="J27" s="457">
        <f t="shared" si="10"/>
        <v>127946.90000000001</v>
      </c>
      <c r="K27" s="438">
        <f t="shared" si="1"/>
        <v>21.917531555072404</v>
      </c>
      <c r="L27" s="457">
        <f>SUM(L21:L26)</f>
        <v>213820.2</v>
      </c>
      <c r="M27" s="438">
        <f t="shared" si="2"/>
        <v>36.627780591885326</v>
      </c>
      <c r="N27" s="452">
        <f t="shared" si="9"/>
        <v>102.53203219817723</v>
      </c>
    </row>
    <row r="28" spans="2:14" ht="18" customHeight="1">
      <c r="B28" s="446" t="s">
        <v>2593</v>
      </c>
      <c r="C28" s="441">
        <f>239206-8300-150-550</f>
        <v>230206</v>
      </c>
      <c r="D28" s="442">
        <f>257740-11133-150-550</f>
        <v>245907</v>
      </c>
      <c r="E28" s="443">
        <f>217365.6-21374-1812.7</f>
        <v>194178.9</v>
      </c>
      <c r="F28" s="444">
        <f>33105</f>
        <v>33105</v>
      </c>
      <c r="G28" s="436">
        <f t="shared" si="0"/>
        <v>17.048711265745148</v>
      </c>
      <c r="H28" s="445">
        <f>73131.5-500.47-F28</f>
        <v>39526.03</v>
      </c>
      <c r="I28" s="438">
        <f t="shared" si="4"/>
        <v>20.355471166022674</v>
      </c>
      <c r="J28" s="445">
        <f>120511.6-2737.3-500.47-706.11-F28-H28</f>
        <v>43936.69</v>
      </c>
      <c r="K28" s="438">
        <f t="shared" si="1"/>
        <v>22.626912604819577</v>
      </c>
      <c r="L28" s="445">
        <f>E28-F28-H28-J28</f>
        <v>77611.18</v>
      </c>
      <c r="M28" s="438">
        <f t="shared" si="2"/>
        <v>39.968904963412605</v>
      </c>
      <c r="N28" s="439">
        <f t="shared" si="9"/>
        <v>78.96436457685222</v>
      </c>
    </row>
    <row r="29" spans="2:14" ht="18" customHeight="1">
      <c r="B29" s="487" t="s">
        <v>2703</v>
      </c>
      <c r="C29" s="489">
        <f>SUM(C27:C28)</f>
        <v>787731</v>
      </c>
      <c r="D29" s="454">
        <f aca="true" t="shared" si="11" ref="D29:J29">SUM(D27:D28)</f>
        <v>815256</v>
      </c>
      <c r="E29" s="455">
        <f t="shared" si="11"/>
        <v>777944.0000000001</v>
      </c>
      <c r="F29" s="456">
        <f t="shared" si="11"/>
        <v>129220.70000000001</v>
      </c>
      <c r="G29" s="436">
        <f t="shared" si="0"/>
        <v>16.610540090289277</v>
      </c>
      <c r="H29" s="457">
        <f t="shared" si="11"/>
        <v>185408.33</v>
      </c>
      <c r="I29" s="438">
        <f t="shared" si="4"/>
        <v>23.833120378844747</v>
      </c>
      <c r="J29" s="457">
        <f t="shared" si="11"/>
        <v>171883.59000000003</v>
      </c>
      <c r="K29" s="438">
        <f t="shared" si="1"/>
        <v>22.094596783316025</v>
      </c>
      <c r="L29" s="457">
        <f>SUM(L27:L28)</f>
        <v>291431.38</v>
      </c>
      <c r="M29" s="438">
        <f t="shared" si="2"/>
        <v>37.46174274754995</v>
      </c>
      <c r="N29" s="452">
        <f t="shared" si="9"/>
        <v>95.42327808688316</v>
      </c>
    </row>
    <row r="30" spans="2:14" ht="18" customHeight="1">
      <c r="B30" s="490" t="s">
        <v>2704</v>
      </c>
      <c r="C30" s="468">
        <f>29290-10500</f>
        <v>18790</v>
      </c>
      <c r="D30" s="469">
        <f>27433-4200</f>
        <v>23233</v>
      </c>
      <c r="E30" s="470">
        <f>22985.5-1586.2</f>
        <v>21399.3</v>
      </c>
      <c r="F30" s="471">
        <v>3274.1</v>
      </c>
      <c r="G30" s="436">
        <f t="shared" si="0"/>
        <v>15.300033178655378</v>
      </c>
      <c r="H30" s="473">
        <f>7905.8-F30</f>
        <v>4631.700000000001</v>
      </c>
      <c r="I30" s="438">
        <f t="shared" si="4"/>
        <v>21.644165930661288</v>
      </c>
      <c r="J30" s="473">
        <f>12819.2-593.7-F30-H30</f>
        <v>4319.699999999999</v>
      </c>
      <c r="K30" s="438">
        <f t="shared" si="1"/>
        <v>20.186174314113075</v>
      </c>
      <c r="L30" s="445">
        <f>E30-F30-H30-J30</f>
        <v>9173.800000000001</v>
      </c>
      <c r="M30" s="438">
        <f t="shared" si="2"/>
        <v>42.86962657657027</v>
      </c>
      <c r="N30" s="452">
        <f t="shared" si="9"/>
        <v>92.10734730770886</v>
      </c>
    </row>
    <row r="31" spans="2:14" ht="18" customHeight="1">
      <c r="B31" s="487" t="s">
        <v>2705</v>
      </c>
      <c r="C31" s="488">
        <f>SUM(C29:C30)</f>
        <v>806521</v>
      </c>
      <c r="D31" s="454">
        <f aca="true" t="shared" si="12" ref="D31:J31">SUM(D29:D30)</f>
        <v>838489</v>
      </c>
      <c r="E31" s="455">
        <f t="shared" si="12"/>
        <v>799343.3000000002</v>
      </c>
      <c r="F31" s="456">
        <f t="shared" si="12"/>
        <v>132494.80000000002</v>
      </c>
      <c r="G31" s="436">
        <f t="shared" si="0"/>
        <v>16.575456377754087</v>
      </c>
      <c r="H31" s="457">
        <f t="shared" si="12"/>
        <v>190040.03</v>
      </c>
      <c r="I31" s="438">
        <f t="shared" si="4"/>
        <v>23.774519658824932</v>
      </c>
      <c r="J31" s="457">
        <f t="shared" si="12"/>
        <v>176203.29000000004</v>
      </c>
      <c r="K31" s="438">
        <f t="shared" si="1"/>
        <v>22.04350621316273</v>
      </c>
      <c r="L31" s="457">
        <f>SUM(L29:L30)</f>
        <v>300605.18</v>
      </c>
      <c r="M31" s="438">
        <f t="shared" si="2"/>
        <v>37.606517750258234</v>
      </c>
      <c r="N31" s="452">
        <f t="shared" si="9"/>
        <v>95.33139969635859</v>
      </c>
    </row>
    <row r="32" spans="2:14" ht="18" customHeight="1">
      <c r="B32" s="490" t="s">
        <v>2706</v>
      </c>
      <c r="C32" s="468">
        <f>5400355-675289</f>
        <v>4725066</v>
      </c>
      <c r="D32" s="469">
        <f>5788859-725691-2</f>
        <v>5063166</v>
      </c>
      <c r="E32" s="470">
        <f>6070508-795187.1</f>
        <v>5275320.9</v>
      </c>
      <c r="F32" s="471">
        <f>852630.6-16348.7</f>
        <v>836281.9</v>
      </c>
      <c r="G32" s="436">
        <f t="shared" si="0"/>
        <v>15.852720921678905</v>
      </c>
      <c r="H32" s="473">
        <f>2155784.7-73713.8-16348.7-F32</f>
        <v>1229440.3000000003</v>
      </c>
      <c r="I32" s="438">
        <f t="shared" si="4"/>
        <v>23.305507348377617</v>
      </c>
      <c r="J32" s="473">
        <f>3459022.2-16348.7-73713.8-114743.4-F32-H32</f>
        <v>1188494.1</v>
      </c>
      <c r="K32" s="438">
        <f t="shared" si="1"/>
        <v>22.52932328723358</v>
      </c>
      <c r="L32" s="445">
        <f>E32-F32-H32-J32</f>
        <v>2021104.5999999996</v>
      </c>
      <c r="M32" s="438">
        <f t="shared" si="2"/>
        <v>38.31244844270989</v>
      </c>
      <c r="N32" s="452">
        <f t="shared" si="9"/>
        <v>104.19016283487447</v>
      </c>
    </row>
    <row r="33" spans="2:14" ht="18" customHeight="1">
      <c r="B33" s="446" t="s">
        <v>2663</v>
      </c>
      <c r="C33" s="453">
        <f>337847-20364</f>
        <v>317483</v>
      </c>
      <c r="D33" s="454">
        <f>425741-20549</f>
        <v>405192</v>
      </c>
      <c r="E33" s="491">
        <f>425503.5-42022</f>
        <v>383481.5</v>
      </c>
      <c r="F33" s="492">
        <f>101011.6</f>
        <v>101011.6</v>
      </c>
      <c r="G33" s="493">
        <f t="shared" si="0"/>
        <v>26.340670931974554</v>
      </c>
      <c r="H33" s="454">
        <f>183886.2-F33</f>
        <v>82874.6</v>
      </c>
      <c r="I33" s="494">
        <f t="shared" si="4"/>
        <v>21.61110770662992</v>
      </c>
      <c r="J33" s="454">
        <f>254434.1-1008.8-F33-H33</f>
        <v>69539.1</v>
      </c>
      <c r="K33" s="494">
        <f t="shared" si="1"/>
        <v>18.13362574205014</v>
      </c>
      <c r="L33" s="442">
        <f>E33-F33-H33-J33</f>
        <v>130056.20000000001</v>
      </c>
      <c r="M33" s="494">
        <f t="shared" si="2"/>
        <v>33.9145956193454</v>
      </c>
      <c r="N33" s="452">
        <f t="shared" si="9"/>
        <v>94.64192284151711</v>
      </c>
    </row>
    <row r="34" spans="2:14" ht="18" customHeight="1">
      <c r="B34" s="446" t="s">
        <v>2664</v>
      </c>
      <c r="C34" s="453">
        <f>14120-1800</f>
        <v>12320</v>
      </c>
      <c r="D34" s="454">
        <f>15809-1800</f>
        <v>14009</v>
      </c>
      <c r="E34" s="491">
        <f>17415.3-3800</f>
        <v>13615.3</v>
      </c>
      <c r="F34" s="492">
        <f>2155.8</f>
        <v>2155.8</v>
      </c>
      <c r="G34" s="493">
        <f t="shared" si="0"/>
        <v>15.833657723296588</v>
      </c>
      <c r="H34" s="454">
        <f>5690.5-F34</f>
        <v>3534.7</v>
      </c>
      <c r="I34" s="494">
        <f t="shared" si="4"/>
        <v>25.96123478733484</v>
      </c>
      <c r="J34" s="454">
        <f>10124.8-1652.6-F34-H34</f>
        <v>2781.699999999999</v>
      </c>
      <c r="K34" s="494">
        <f t="shared" si="1"/>
        <v>20.430691942153306</v>
      </c>
      <c r="L34" s="442">
        <f>E34-F34-H34-J34</f>
        <v>5143.100000000001</v>
      </c>
      <c r="M34" s="494">
        <f t="shared" si="2"/>
        <v>37.77441554721528</v>
      </c>
      <c r="N34" s="452">
        <f t="shared" si="9"/>
        <v>97.18966378756514</v>
      </c>
    </row>
    <row r="35" spans="2:14" ht="18" customHeight="1" thickBot="1">
      <c r="B35" s="458" t="s">
        <v>2707</v>
      </c>
      <c r="C35" s="481">
        <f>SUM(C32:C34)</f>
        <v>5054869</v>
      </c>
      <c r="D35" s="482">
        <f aca="true" t="shared" si="13" ref="D35:J35">SUM(D32:D34)</f>
        <v>5482367</v>
      </c>
      <c r="E35" s="495">
        <f t="shared" si="13"/>
        <v>5672417.7</v>
      </c>
      <c r="F35" s="496">
        <f t="shared" si="13"/>
        <v>939449.3</v>
      </c>
      <c r="G35" s="497">
        <f t="shared" si="0"/>
        <v>16.561708775430976</v>
      </c>
      <c r="H35" s="482">
        <f t="shared" si="13"/>
        <v>1315849.6000000003</v>
      </c>
      <c r="I35" s="498">
        <f t="shared" si="4"/>
        <v>23.197332594177617</v>
      </c>
      <c r="J35" s="482">
        <f t="shared" si="13"/>
        <v>1260814.9000000001</v>
      </c>
      <c r="K35" s="498">
        <f t="shared" si="1"/>
        <v>22.22711666667284</v>
      </c>
      <c r="L35" s="482">
        <f>SUM(L32:L34)</f>
        <v>2156303.9</v>
      </c>
      <c r="M35" s="498">
        <f t="shared" si="2"/>
        <v>38.013841963718576</v>
      </c>
      <c r="N35" s="466">
        <f t="shared" si="9"/>
        <v>103.46658113183594</v>
      </c>
    </row>
    <row r="36" spans="2:14" ht="18" customHeight="1" thickBot="1">
      <c r="B36" s="499" t="s">
        <v>2708</v>
      </c>
      <c r="C36" s="481">
        <f>C11+C20+C31+C35</f>
        <v>38967422</v>
      </c>
      <c r="D36" s="482">
        <f>D11+D20+D31+D35</f>
        <v>39568273</v>
      </c>
      <c r="E36" s="495">
        <f aca="true" t="shared" si="14" ref="E36:J36">E11+E20+E31+E35</f>
        <v>42210687.23</v>
      </c>
      <c r="F36" s="496">
        <f t="shared" si="14"/>
        <v>7313341.599999999</v>
      </c>
      <c r="G36" s="500">
        <f t="shared" si="0"/>
        <v>17.325805571822716</v>
      </c>
      <c r="H36" s="482">
        <f t="shared" si="14"/>
        <v>10130396.179999998</v>
      </c>
      <c r="I36" s="501">
        <f t="shared" si="4"/>
        <v>23.999600207409365</v>
      </c>
      <c r="J36" s="482">
        <f t="shared" si="14"/>
        <v>9698800.559999999</v>
      </c>
      <c r="K36" s="501">
        <f t="shared" si="1"/>
        <v>22.977120716259893</v>
      </c>
      <c r="L36" s="482">
        <f>L11+L20+L31+L35</f>
        <v>15068148.890000002</v>
      </c>
      <c r="M36" s="501">
        <f t="shared" si="2"/>
        <v>35.697473504508025</v>
      </c>
      <c r="N36" s="502">
        <f t="shared" si="9"/>
        <v>106.67811362401386</v>
      </c>
    </row>
    <row r="37" spans="2:14" ht="18" customHeight="1">
      <c r="B37" s="440" t="s">
        <v>2709</v>
      </c>
      <c r="C37" s="453">
        <f>693396-302500</f>
        <v>390896</v>
      </c>
      <c r="D37" s="454">
        <f>1027703-548936</f>
        <v>478767</v>
      </c>
      <c r="E37" s="491">
        <f>938932-399978</f>
        <v>538954</v>
      </c>
      <c r="F37" s="492">
        <f>106442.6-1554.6</f>
        <v>104888</v>
      </c>
      <c r="G37" s="503">
        <f t="shared" si="0"/>
        <v>19.461401158540433</v>
      </c>
      <c r="H37" s="454">
        <f>242267.1-92.5-1554.6-F37</f>
        <v>135732</v>
      </c>
      <c r="I37" s="504">
        <f t="shared" si="4"/>
        <v>25.184338552084224</v>
      </c>
      <c r="J37" s="454">
        <f>378103.7-1554.6-92.5-2620.6-F37-H37</f>
        <v>133216.00000000006</v>
      </c>
      <c r="K37" s="504">
        <f t="shared" si="1"/>
        <v>24.717508358783878</v>
      </c>
      <c r="L37" s="442">
        <f>E37-F37-H37-J37</f>
        <v>165117.99999999994</v>
      </c>
      <c r="M37" s="504">
        <f t="shared" si="2"/>
        <v>30.63675193059147</v>
      </c>
      <c r="N37" s="486">
        <f t="shared" si="9"/>
        <v>112.5712507336554</v>
      </c>
    </row>
    <row r="38" spans="2:14" ht="18" customHeight="1">
      <c r="B38" s="446" t="s">
        <v>2710</v>
      </c>
      <c r="C38" s="453">
        <f>23231-1000</f>
        <v>22231</v>
      </c>
      <c r="D38" s="454">
        <f>23949-1000</f>
        <v>22949</v>
      </c>
      <c r="E38" s="491">
        <f>28276-5000</f>
        <v>23276</v>
      </c>
      <c r="F38" s="492">
        <f>5306</f>
        <v>5306</v>
      </c>
      <c r="G38" s="493">
        <f t="shared" si="0"/>
        <v>22.796013060663345</v>
      </c>
      <c r="H38" s="454">
        <f>10612-F38</f>
        <v>5306</v>
      </c>
      <c r="I38" s="494">
        <f t="shared" si="4"/>
        <v>22.796013060663345</v>
      </c>
      <c r="J38" s="454">
        <f>20871-4953-F38-H38</f>
        <v>5306</v>
      </c>
      <c r="K38" s="494">
        <f t="shared" si="1"/>
        <v>22.796013060663345</v>
      </c>
      <c r="L38" s="442">
        <f>E38-F38-H38-J38</f>
        <v>7358</v>
      </c>
      <c r="M38" s="494">
        <f t="shared" si="2"/>
        <v>31.61196081800997</v>
      </c>
      <c r="N38" s="452">
        <f t="shared" si="9"/>
        <v>101.42489868839601</v>
      </c>
    </row>
    <row r="39" spans="2:14" ht="18" customHeight="1">
      <c r="B39" s="446" t="s">
        <v>2711</v>
      </c>
      <c r="C39" s="453">
        <f>48997-3200</f>
        <v>45797</v>
      </c>
      <c r="D39" s="454">
        <f>59738-11901</f>
        <v>47837</v>
      </c>
      <c r="E39" s="491">
        <f>55519-8203</f>
        <v>47316</v>
      </c>
      <c r="F39" s="492">
        <f>18069-6620</f>
        <v>11449</v>
      </c>
      <c r="G39" s="493">
        <f t="shared" si="0"/>
        <v>24.196889001606223</v>
      </c>
      <c r="H39" s="454">
        <f>30550-380-6620-F39</f>
        <v>12101</v>
      </c>
      <c r="I39" s="494">
        <f t="shared" si="4"/>
        <v>25.57485839885028</v>
      </c>
      <c r="J39" s="454">
        <f>43529-6620-380-1203-F39-H39</f>
        <v>11776</v>
      </c>
      <c r="K39" s="494">
        <f t="shared" si="1"/>
        <v>24.887987150224024</v>
      </c>
      <c r="L39" s="442">
        <f>E39-F39-H39-J39</f>
        <v>11990</v>
      </c>
      <c r="M39" s="494">
        <f t="shared" si="2"/>
        <v>25.340265449319467</v>
      </c>
      <c r="N39" s="452">
        <f t="shared" si="9"/>
        <v>98.91088487990467</v>
      </c>
    </row>
    <row r="40" spans="2:14" ht="18" customHeight="1">
      <c r="B40" s="467" t="s">
        <v>2712</v>
      </c>
      <c r="C40" s="475">
        <v>7637</v>
      </c>
      <c r="D40" s="476">
        <v>25580</v>
      </c>
      <c r="E40" s="477">
        <f>9621-40</f>
        <v>9581</v>
      </c>
      <c r="F40" s="478">
        <f>1575</f>
        <v>1575</v>
      </c>
      <c r="G40" s="436">
        <f t="shared" si="0"/>
        <v>16.438785095501512</v>
      </c>
      <c r="H40" s="479">
        <f>3260-F40</f>
        <v>1685</v>
      </c>
      <c r="I40" s="438">
        <f t="shared" si="4"/>
        <v>17.586890721219078</v>
      </c>
      <c r="J40" s="479">
        <f>4890-F40-H40</f>
        <v>1630</v>
      </c>
      <c r="K40" s="438">
        <f t="shared" si="1"/>
        <v>17.012837908360297</v>
      </c>
      <c r="L40" s="445">
        <f>E40-F40-H40-J40</f>
        <v>4691</v>
      </c>
      <c r="M40" s="438">
        <f t="shared" si="2"/>
        <v>48.96148627491911</v>
      </c>
      <c r="N40" s="439">
        <f t="shared" si="9"/>
        <v>37.45504300234558</v>
      </c>
    </row>
    <row r="41" spans="2:14" ht="18" customHeight="1">
      <c r="B41" s="446" t="s">
        <v>2713</v>
      </c>
      <c r="C41" s="453">
        <v>0</v>
      </c>
      <c r="D41" s="454">
        <v>0</v>
      </c>
      <c r="E41" s="491">
        <f>8000-8000</f>
        <v>0</v>
      </c>
      <c r="F41" s="492">
        <v>0</v>
      </c>
      <c r="G41" s="493">
        <v>0</v>
      </c>
      <c r="H41" s="454">
        <v>0</v>
      </c>
      <c r="I41" s="494">
        <v>0</v>
      </c>
      <c r="J41" s="454">
        <v>0</v>
      </c>
      <c r="K41" s="494">
        <v>0</v>
      </c>
      <c r="L41" s="442">
        <f>E41-F41-H41-J41</f>
        <v>0</v>
      </c>
      <c r="M41" s="494">
        <v>0</v>
      </c>
      <c r="N41" s="452">
        <v>0</v>
      </c>
    </row>
    <row r="42" spans="2:14" ht="18" customHeight="1" thickBot="1">
      <c r="B42" s="458" t="s">
        <v>2714</v>
      </c>
      <c r="C42" s="505">
        <f>SUM(C37:C41)</f>
        <v>466561</v>
      </c>
      <c r="D42" s="506">
        <f>SUM(D37:D41)</f>
        <v>575133</v>
      </c>
      <c r="E42" s="507">
        <f aca="true" t="shared" si="15" ref="E42:J42">SUM(E37:E41)</f>
        <v>619127</v>
      </c>
      <c r="F42" s="508">
        <f t="shared" si="15"/>
        <v>123218</v>
      </c>
      <c r="G42" s="509">
        <f t="shared" si="0"/>
        <v>19.90189411865417</v>
      </c>
      <c r="H42" s="506">
        <f t="shared" si="15"/>
        <v>154824</v>
      </c>
      <c r="I42" s="510">
        <f t="shared" si="4"/>
        <v>25.00682412493721</v>
      </c>
      <c r="J42" s="506">
        <f t="shared" si="15"/>
        <v>151928.00000000006</v>
      </c>
      <c r="K42" s="511">
        <f t="shared" si="1"/>
        <v>24.539068720957097</v>
      </c>
      <c r="L42" s="506">
        <f>SUM(L37:L41)</f>
        <v>189156.99999999994</v>
      </c>
      <c r="M42" s="510">
        <f t="shared" si="2"/>
        <v>30.55221303545152</v>
      </c>
      <c r="N42" s="512">
        <f t="shared" si="9"/>
        <v>107.6493611043011</v>
      </c>
    </row>
    <row r="43" spans="2:14" ht="18" customHeight="1" hidden="1" thickBot="1">
      <c r="B43" s="513" t="s">
        <v>2715</v>
      </c>
      <c r="C43" s="514">
        <f>C36+C42</f>
        <v>39433983</v>
      </c>
      <c r="D43" s="515">
        <f aca="true" t="shared" si="16" ref="D43:J43">D36+D42</f>
        <v>40143406</v>
      </c>
      <c r="E43" s="516">
        <f t="shared" si="16"/>
        <v>42829814.23</v>
      </c>
      <c r="F43" s="517">
        <f t="shared" si="16"/>
        <v>7436559.599999999</v>
      </c>
      <c r="G43" s="518">
        <f t="shared" si="0"/>
        <v>17.363044257126585</v>
      </c>
      <c r="H43" s="515">
        <f t="shared" si="16"/>
        <v>10285220.179999998</v>
      </c>
      <c r="I43" s="519">
        <f t="shared" si="4"/>
        <v>24.014160147339023</v>
      </c>
      <c r="J43" s="515">
        <f t="shared" si="16"/>
        <v>9850728.559999999</v>
      </c>
      <c r="K43" s="520">
        <f t="shared" si="1"/>
        <v>22.999699478266916</v>
      </c>
      <c r="L43" s="515">
        <f>L36+L42</f>
        <v>15257305.890000002</v>
      </c>
      <c r="M43" s="519">
        <f t="shared" si="2"/>
        <v>35.62309611726748</v>
      </c>
      <c r="N43" s="521">
        <f t="shared" si="9"/>
        <v>106.69202864849085</v>
      </c>
    </row>
    <row r="44" spans="2:14" ht="18" customHeight="1" hidden="1" thickBot="1" thickTop="1">
      <c r="B44" s="522" t="s">
        <v>2716</v>
      </c>
      <c r="C44" s="523">
        <f>344434-500</f>
        <v>343934</v>
      </c>
      <c r="D44" s="524">
        <v>20277</v>
      </c>
      <c r="E44" s="525">
        <v>0</v>
      </c>
      <c r="F44" s="526"/>
      <c r="G44" s="527">
        <v>0</v>
      </c>
      <c r="H44" s="524"/>
      <c r="I44" s="528">
        <v>0</v>
      </c>
      <c r="J44" s="524"/>
      <c r="K44" s="519">
        <v>0</v>
      </c>
      <c r="L44" s="442">
        <f>E44-F44-H44-J44</f>
        <v>0</v>
      </c>
      <c r="M44" s="528">
        <v>0</v>
      </c>
      <c r="N44" s="529">
        <v>0</v>
      </c>
    </row>
    <row r="45" spans="2:14" ht="18" customHeight="1" thickBot="1">
      <c r="B45" s="499" t="s">
        <v>2666</v>
      </c>
      <c r="C45" s="530">
        <f>SUM(C43+C44)</f>
        <v>39777917</v>
      </c>
      <c r="D45" s="531">
        <f>SUM(D43+D44)</f>
        <v>40163683</v>
      </c>
      <c r="E45" s="532">
        <f aca="true" t="shared" si="17" ref="E45:J45">SUM(E43+E44)</f>
        <v>42829814.23</v>
      </c>
      <c r="F45" s="533">
        <f t="shared" si="17"/>
        <v>7436559.599999999</v>
      </c>
      <c r="G45" s="534">
        <f t="shared" si="0"/>
        <v>17.363044257126585</v>
      </c>
      <c r="H45" s="531">
        <f t="shared" si="17"/>
        <v>10285220.179999998</v>
      </c>
      <c r="I45" s="535">
        <f t="shared" si="4"/>
        <v>24.014160147339023</v>
      </c>
      <c r="J45" s="531">
        <f t="shared" si="17"/>
        <v>9850728.559999999</v>
      </c>
      <c r="K45" s="535">
        <f t="shared" si="1"/>
        <v>22.999699478266916</v>
      </c>
      <c r="L45" s="531">
        <f>SUM(L43+L44)</f>
        <v>15257305.890000002</v>
      </c>
      <c r="M45" s="535">
        <f t="shared" si="2"/>
        <v>35.62309611726748</v>
      </c>
      <c r="N45" s="536">
        <f t="shared" si="9"/>
        <v>106.63816420919365</v>
      </c>
    </row>
    <row r="46" spans="2:14" ht="12.75">
      <c r="B46" s="537"/>
      <c r="C46" s="393"/>
      <c r="D46" s="393"/>
      <c r="E46" s="393"/>
      <c r="F46" s="393"/>
      <c r="G46" s="538"/>
      <c r="H46" s="393"/>
      <c r="I46" s="538"/>
      <c r="J46" s="393"/>
      <c r="K46" s="538"/>
      <c r="L46" s="393"/>
      <c r="M46" s="538"/>
      <c r="N46" s="538"/>
    </row>
    <row r="47" spans="2:14" ht="12.75">
      <c r="B47" s="170" t="s">
        <v>2717</v>
      </c>
      <c r="C47" s="393"/>
      <c r="D47" s="393"/>
      <c r="E47" s="393"/>
      <c r="F47" s="393"/>
      <c r="G47" s="538"/>
      <c r="H47" s="393"/>
      <c r="I47" s="538"/>
      <c r="J47" s="393"/>
      <c r="K47" s="538"/>
      <c r="L47" s="393"/>
      <c r="M47" s="538"/>
      <c r="N47" s="538"/>
    </row>
    <row r="48" spans="2:14" ht="12.75" hidden="1">
      <c r="B48" t="s">
        <v>2718</v>
      </c>
      <c r="C48" s="393"/>
      <c r="D48" s="393"/>
      <c r="E48" s="393"/>
      <c r="F48" s="393"/>
      <c r="G48" s="538"/>
      <c r="H48" s="393"/>
      <c r="I48" s="538"/>
      <c r="J48" s="393"/>
      <c r="K48" s="538"/>
      <c r="L48" s="393"/>
      <c r="M48" s="538"/>
      <c r="N48" s="538"/>
    </row>
    <row r="49" ht="12.75" hidden="1">
      <c r="B49" s="341" t="s">
        <v>2719</v>
      </c>
    </row>
    <row r="50" s="341" customFormat="1" ht="12.75">
      <c r="B50" s="1258" t="s">
        <v>3803</v>
      </c>
    </row>
    <row r="51" ht="12.75">
      <c r="B51" t="s">
        <v>2720</v>
      </c>
    </row>
    <row r="53" spans="2:13" ht="17.25" customHeight="1">
      <c r="B53" s="1953" t="s">
        <v>3732</v>
      </c>
      <c r="C53" s="1953"/>
      <c r="D53" s="1953"/>
      <c r="E53" s="1953"/>
      <c r="F53" s="1953"/>
      <c r="G53" s="1953"/>
      <c r="H53" s="1953"/>
      <c r="I53" s="1953"/>
      <c r="J53" s="1953"/>
      <c r="K53" s="1953"/>
      <c r="L53" s="1953"/>
      <c r="M53" s="1953"/>
    </row>
    <row r="54" ht="12.75">
      <c r="B54" s="416"/>
    </row>
    <row r="56" spans="2:13" ht="15">
      <c r="B56" t="s">
        <v>3746</v>
      </c>
      <c r="H56" s="144" t="s">
        <v>3602</v>
      </c>
      <c r="L56" s="1952" t="s">
        <v>3510</v>
      </c>
      <c r="M56" s="1952"/>
    </row>
  </sheetData>
  <mergeCells count="4">
    <mergeCell ref="B2:M2"/>
    <mergeCell ref="B53:M53"/>
    <mergeCell ref="L1:M1"/>
    <mergeCell ref="L56:M56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Footer>&amp;C&amp;12&amp;P+142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6"/>
  <sheetViews>
    <sheetView workbookViewId="0" topLeftCell="C1">
      <selection activeCell="C43" sqref="C43"/>
    </sheetView>
  </sheetViews>
  <sheetFormatPr defaultColWidth="9.00390625" defaultRowHeight="12.75"/>
  <cols>
    <col min="1" max="2" width="0" style="0" hidden="1" customWidth="1"/>
    <col min="3" max="3" width="28.375" style="0" customWidth="1"/>
    <col min="4" max="4" width="14.375" style="0" hidden="1" customWidth="1"/>
    <col min="5" max="5" width="13.125" style="0" hidden="1" customWidth="1"/>
    <col min="6" max="6" width="14.375" style="0" customWidth="1"/>
    <col min="7" max="7" width="12.875" style="0" customWidth="1"/>
    <col min="8" max="8" width="8.50390625" style="0" customWidth="1"/>
    <col min="9" max="9" width="12.50390625" style="0" customWidth="1"/>
    <col min="10" max="10" width="9.50390625" style="0" customWidth="1"/>
    <col min="11" max="11" width="11.875" style="0" customWidth="1"/>
    <col min="12" max="12" width="8.375" style="0" customWidth="1"/>
    <col min="13" max="13" width="11.875" style="0" customWidth="1"/>
    <col min="14" max="14" width="8.00390625" style="0" customWidth="1"/>
    <col min="15" max="15" width="0" style="0" hidden="1" customWidth="1"/>
  </cols>
  <sheetData>
    <row r="1" spans="3:15" ht="25.5" customHeight="1">
      <c r="C1" s="1682" t="s">
        <v>3513</v>
      </c>
      <c r="M1" s="1954" t="s">
        <v>3734</v>
      </c>
      <c r="N1" s="1954"/>
      <c r="O1" s="271"/>
    </row>
    <row r="2" spans="3:15" ht="37.5" customHeight="1">
      <c r="C2" s="1955" t="s">
        <v>3742</v>
      </c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271"/>
    </row>
    <row r="3" spans="3:15" ht="15.75" thickBot="1">
      <c r="C3" s="415"/>
      <c r="F3" s="415"/>
      <c r="G3" s="415"/>
      <c r="N3" s="271" t="s">
        <v>2575</v>
      </c>
      <c r="O3" s="271"/>
    </row>
    <row r="4" spans="3:15" ht="18" customHeight="1" thickBot="1">
      <c r="C4" s="417"/>
      <c r="D4" s="425" t="s">
        <v>2685</v>
      </c>
      <c r="E4" s="419"/>
      <c r="F4" s="420" t="s">
        <v>2722</v>
      </c>
      <c r="G4" s="420"/>
      <c r="H4" s="420"/>
      <c r="I4" s="420" t="s">
        <v>2687</v>
      </c>
      <c r="J4" s="420"/>
      <c r="K4" s="420"/>
      <c r="L4" s="420"/>
      <c r="M4" s="420"/>
      <c r="N4" s="421"/>
      <c r="O4" s="539"/>
    </row>
    <row r="5" spans="3:15" ht="18" customHeight="1" thickBot="1">
      <c r="C5" s="423" t="s">
        <v>2583</v>
      </c>
      <c r="D5" s="421"/>
      <c r="E5" s="421"/>
      <c r="F5" s="426" t="s">
        <v>2688</v>
      </c>
      <c r="G5" s="425" t="s">
        <v>2689</v>
      </c>
      <c r="H5" s="419"/>
      <c r="I5" s="425" t="s">
        <v>2690</v>
      </c>
      <c r="J5" s="419"/>
      <c r="K5" s="425" t="s">
        <v>2691</v>
      </c>
      <c r="L5" s="419"/>
      <c r="M5" s="425" t="s">
        <v>2692</v>
      </c>
      <c r="N5" s="419"/>
      <c r="O5" s="424" t="s">
        <v>2693</v>
      </c>
    </row>
    <row r="6" spans="3:15" ht="18" customHeight="1" thickBot="1">
      <c r="C6" s="426"/>
      <c r="D6" s="424" t="s">
        <v>2584</v>
      </c>
      <c r="E6" s="428" t="s">
        <v>2585</v>
      </c>
      <c r="F6" s="426"/>
      <c r="G6" s="429" t="s">
        <v>2586</v>
      </c>
      <c r="H6" s="429" t="s">
        <v>2694</v>
      </c>
      <c r="I6" s="429" t="s">
        <v>2586</v>
      </c>
      <c r="J6" s="429" t="s">
        <v>2695</v>
      </c>
      <c r="K6" s="430" t="s">
        <v>2586</v>
      </c>
      <c r="L6" s="429" t="s">
        <v>2695</v>
      </c>
      <c r="M6" s="430" t="s">
        <v>2586</v>
      </c>
      <c r="N6" s="429" t="s">
        <v>2695</v>
      </c>
      <c r="O6" s="428" t="s">
        <v>2696</v>
      </c>
    </row>
    <row r="7" spans="3:15" ht="18" customHeight="1">
      <c r="C7" s="431" t="s">
        <v>2641</v>
      </c>
      <c r="D7" s="432">
        <f>1481361+124575</f>
        <v>1605936</v>
      </c>
      <c r="E7" s="433">
        <f>1384303+139796</f>
        <v>1524099</v>
      </c>
      <c r="F7" s="540">
        <v>1734726</v>
      </c>
      <c r="G7" s="541">
        <v>134675.6</v>
      </c>
      <c r="H7" s="542">
        <f aca="true" t="shared" si="0" ref="H7:H45">G7*100/F7</f>
        <v>7.763508473384269</v>
      </c>
      <c r="I7" s="433">
        <f>411226.9-G7</f>
        <v>276551.30000000005</v>
      </c>
      <c r="J7" s="494">
        <f>I7*100/F7</f>
        <v>15.942073849126608</v>
      </c>
      <c r="K7" s="433">
        <f>802913.4-G7-I7</f>
        <v>391686.5</v>
      </c>
      <c r="L7" s="494">
        <f>K7*100/F7</f>
        <v>22.579156593029676</v>
      </c>
      <c r="M7" s="433">
        <f>F7-G7-I7-K7</f>
        <v>931812.5999999999</v>
      </c>
      <c r="N7" s="494">
        <f>M7*100/F7</f>
        <v>53.71526108445944</v>
      </c>
      <c r="O7" s="493">
        <f>F7*100/E7</f>
        <v>113.81977155027332</v>
      </c>
    </row>
    <row r="8" spans="3:15" ht="18" customHeight="1">
      <c r="C8" s="440" t="s">
        <v>2697</v>
      </c>
      <c r="D8" s="441">
        <v>820862</v>
      </c>
      <c r="E8" s="442">
        <v>1040429</v>
      </c>
      <c r="F8" s="543">
        <v>1366424</v>
      </c>
      <c r="G8" s="544">
        <v>179691.9</v>
      </c>
      <c r="H8" s="452">
        <f t="shared" si="0"/>
        <v>13.150522824540552</v>
      </c>
      <c r="I8" s="442">
        <f>256182.6-G8</f>
        <v>76490.70000000001</v>
      </c>
      <c r="J8" s="494">
        <f>I8*100/F8</f>
        <v>5.597874451853891</v>
      </c>
      <c r="K8" s="442">
        <f>565721.5-G8-I8</f>
        <v>309538.89999999997</v>
      </c>
      <c r="L8" s="494">
        <f aca="true" t="shared" si="1" ref="L8:L45">K8*100/F8</f>
        <v>22.653210130969594</v>
      </c>
      <c r="M8" s="442">
        <f>F8-G8-I8-K8</f>
        <v>800702.5000000002</v>
      </c>
      <c r="N8" s="494">
        <f aca="true" t="shared" si="2" ref="N8:N45">M8*100/F8</f>
        <v>58.59839259263598</v>
      </c>
      <c r="O8" s="493">
        <f>F8*100/E8</f>
        <v>131.3327483182418</v>
      </c>
    </row>
    <row r="9" spans="3:15" ht="18" customHeight="1">
      <c r="C9" s="446" t="s">
        <v>2644</v>
      </c>
      <c r="D9" s="447">
        <v>17200</v>
      </c>
      <c r="E9" s="448">
        <v>22200</v>
      </c>
      <c r="F9" s="545">
        <v>16138.1</v>
      </c>
      <c r="G9" s="546">
        <v>0</v>
      </c>
      <c r="H9" s="452">
        <f t="shared" si="0"/>
        <v>0</v>
      </c>
      <c r="I9" s="448">
        <f>1782.9-G9</f>
        <v>1782.9</v>
      </c>
      <c r="J9" s="494">
        <f>I9*100/F9</f>
        <v>11.047768944299515</v>
      </c>
      <c r="K9" s="442">
        <f>9373.7-G9-I9</f>
        <v>7590.800000000001</v>
      </c>
      <c r="L9" s="494">
        <f t="shared" si="1"/>
        <v>47.03651607066508</v>
      </c>
      <c r="M9" s="442">
        <f>F9-G9-I9-K9</f>
        <v>6764.4</v>
      </c>
      <c r="N9" s="494">
        <f t="shared" si="2"/>
        <v>41.915714985035414</v>
      </c>
      <c r="O9" s="493">
        <f>F9*100/E9</f>
        <v>72.69414414414415</v>
      </c>
    </row>
    <row r="10" spans="3:15" ht="18" customHeight="1">
      <c r="C10" s="446" t="s">
        <v>2645</v>
      </c>
      <c r="D10" s="453">
        <v>146188</v>
      </c>
      <c r="E10" s="454">
        <v>161874</v>
      </c>
      <c r="F10" s="491">
        <v>218250.6</v>
      </c>
      <c r="G10" s="489">
        <v>55000</v>
      </c>
      <c r="H10" s="452">
        <f t="shared" si="0"/>
        <v>25.200388910729224</v>
      </c>
      <c r="I10" s="442">
        <f>66128.6-G10</f>
        <v>11128.600000000006</v>
      </c>
      <c r="J10" s="494">
        <f>I10*100/F10</f>
        <v>5.099000873308025</v>
      </c>
      <c r="K10" s="442">
        <f>114071.2-G10-I10</f>
        <v>47942.59999999999</v>
      </c>
      <c r="L10" s="494">
        <f t="shared" si="1"/>
        <v>21.966766643482305</v>
      </c>
      <c r="M10" s="442">
        <f>F10-G10-I10-K10</f>
        <v>104179.40000000001</v>
      </c>
      <c r="N10" s="494">
        <f t="shared" si="2"/>
        <v>47.73384357248044</v>
      </c>
      <c r="O10" s="493">
        <f>F10*100/E10</f>
        <v>134.82745839356537</v>
      </c>
    </row>
    <row r="11" spans="3:15" ht="18" customHeight="1" thickBot="1">
      <c r="C11" s="458" t="s">
        <v>2698</v>
      </c>
      <c r="D11" s="459">
        <f>SUM(D7:D10)</f>
        <v>2590186</v>
      </c>
      <c r="E11" s="460">
        <f aca="true" t="shared" si="3" ref="E11:M11">SUM(E7:E10)</f>
        <v>2748602</v>
      </c>
      <c r="F11" s="547">
        <f t="shared" si="3"/>
        <v>3335538.7</v>
      </c>
      <c r="G11" s="548">
        <f t="shared" si="3"/>
        <v>369367.5</v>
      </c>
      <c r="H11" s="466">
        <f t="shared" si="0"/>
        <v>11.073698530315358</v>
      </c>
      <c r="I11" s="460">
        <f t="shared" si="3"/>
        <v>365953.5000000001</v>
      </c>
      <c r="J11" s="498">
        <f>I11*100/F11</f>
        <v>10.971346247609123</v>
      </c>
      <c r="K11" s="460">
        <f t="shared" si="3"/>
        <v>756758.7999999999</v>
      </c>
      <c r="L11" s="498">
        <f t="shared" si="1"/>
        <v>22.68775355537023</v>
      </c>
      <c r="M11" s="460">
        <f t="shared" si="3"/>
        <v>1843458.9</v>
      </c>
      <c r="N11" s="498">
        <f t="shared" si="2"/>
        <v>55.26720166670529</v>
      </c>
      <c r="O11" s="549">
        <f>N11*100/M11</f>
        <v>0.0029980164823151354</v>
      </c>
    </row>
    <row r="12" spans="3:15" ht="18" customHeight="1">
      <c r="C12" s="467" t="s">
        <v>2723</v>
      </c>
      <c r="D12" s="468">
        <v>2770</v>
      </c>
      <c r="E12" s="469">
        <v>3204</v>
      </c>
      <c r="F12" s="550">
        <v>16259</v>
      </c>
      <c r="G12" s="551">
        <v>0</v>
      </c>
      <c r="H12" s="486">
        <f t="shared" si="0"/>
        <v>0</v>
      </c>
      <c r="I12" s="448">
        <f>2043.6-G12</f>
        <v>2043.6</v>
      </c>
      <c r="J12" s="504">
        <f aca="true" t="shared" si="4" ref="J12:J45">I12*100/F12</f>
        <v>12.569038686266069</v>
      </c>
      <c r="K12" s="448">
        <f>13797.9-G12-I12</f>
        <v>11754.3</v>
      </c>
      <c r="L12" s="504">
        <f t="shared" si="1"/>
        <v>72.29411402915308</v>
      </c>
      <c r="M12" s="442">
        <f aca="true" t="shared" si="5" ref="M12:M19">F12-G12-I12-K12</f>
        <v>2461.1000000000004</v>
      </c>
      <c r="N12" s="504">
        <f t="shared" si="2"/>
        <v>15.136847284580849</v>
      </c>
      <c r="O12" s="493">
        <f aca="true" t="shared" si="6" ref="O12:O19">F12*100/E12</f>
        <v>507.4594257178527</v>
      </c>
    </row>
    <row r="13" spans="3:15" ht="18" customHeight="1">
      <c r="C13" s="467" t="s">
        <v>2724</v>
      </c>
      <c r="D13" s="475">
        <v>5885</v>
      </c>
      <c r="E13" s="476">
        <v>5885</v>
      </c>
      <c r="F13" s="552">
        <v>5320.9</v>
      </c>
      <c r="G13" s="480">
        <v>0</v>
      </c>
      <c r="H13" s="452">
        <f t="shared" si="0"/>
        <v>0</v>
      </c>
      <c r="I13" s="448">
        <f>0-G13</f>
        <v>0</v>
      </c>
      <c r="J13" s="494">
        <f t="shared" si="4"/>
        <v>0</v>
      </c>
      <c r="K13" s="448">
        <f>1042.9-G13-I13</f>
        <v>1042.9</v>
      </c>
      <c r="L13" s="494">
        <f t="shared" si="1"/>
        <v>19.60006765772708</v>
      </c>
      <c r="M13" s="442">
        <f t="shared" si="5"/>
        <v>4278</v>
      </c>
      <c r="N13" s="494">
        <f t="shared" si="2"/>
        <v>80.39993234227293</v>
      </c>
      <c r="O13" s="493">
        <f t="shared" si="6"/>
        <v>90.41461342395922</v>
      </c>
    </row>
    <row r="14" spans="3:15" ht="18" customHeight="1">
      <c r="C14" s="467" t="s">
        <v>2725</v>
      </c>
      <c r="D14" s="475">
        <v>1530</v>
      </c>
      <c r="E14" s="476">
        <v>1594</v>
      </c>
      <c r="F14" s="552">
        <v>2825</v>
      </c>
      <c r="G14" s="480">
        <v>0</v>
      </c>
      <c r="H14" s="452">
        <f t="shared" si="0"/>
        <v>0</v>
      </c>
      <c r="I14" s="448">
        <f>0-G14</f>
        <v>0</v>
      </c>
      <c r="J14" s="494">
        <f t="shared" si="4"/>
        <v>0</v>
      </c>
      <c r="K14" s="448">
        <f>2630.8-G14-I14</f>
        <v>2630.8</v>
      </c>
      <c r="L14" s="494">
        <f t="shared" si="1"/>
        <v>93.12566371681416</v>
      </c>
      <c r="M14" s="442">
        <f t="shared" si="5"/>
        <v>194.19999999999982</v>
      </c>
      <c r="N14" s="494">
        <f t="shared" si="2"/>
        <v>6.874336283185834</v>
      </c>
      <c r="O14" s="493">
        <f t="shared" si="6"/>
        <v>177.22710163111668</v>
      </c>
    </row>
    <row r="15" spans="3:15" ht="18" customHeight="1">
      <c r="C15" s="467" t="s">
        <v>2726</v>
      </c>
      <c r="D15" s="475">
        <v>2181</v>
      </c>
      <c r="E15" s="476">
        <v>2446</v>
      </c>
      <c r="F15" s="552">
        <v>3570</v>
      </c>
      <c r="G15" s="480">
        <v>0</v>
      </c>
      <c r="H15" s="452">
        <f t="shared" si="0"/>
        <v>0</v>
      </c>
      <c r="I15" s="448">
        <f>1205.9-G15</f>
        <v>1205.9</v>
      </c>
      <c r="J15" s="494">
        <f t="shared" si="4"/>
        <v>33.77871148459384</v>
      </c>
      <c r="K15" s="448">
        <f>1304.4-G15-I15</f>
        <v>98.5</v>
      </c>
      <c r="L15" s="494">
        <f t="shared" si="1"/>
        <v>2.7591036414565826</v>
      </c>
      <c r="M15" s="442">
        <f t="shared" si="5"/>
        <v>2265.6</v>
      </c>
      <c r="N15" s="494">
        <f t="shared" si="2"/>
        <v>63.46218487394958</v>
      </c>
      <c r="O15" s="493">
        <f t="shared" si="6"/>
        <v>145.95257563368764</v>
      </c>
    </row>
    <row r="16" spans="3:15" ht="18" customHeight="1">
      <c r="C16" s="446" t="s">
        <v>2727</v>
      </c>
      <c r="D16" s="480">
        <v>20843</v>
      </c>
      <c r="E16" s="476">
        <v>20844</v>
      </c>
      <c r="F16" s="552">
        <v>24039.2</v>
      </c>
      <c r="G16" s="480">
        <v>813.4</v>
      </c>
      <c r="H16" s="452">
        <f t="shared" si="0"/>
        <v>3.383640054577523</v>
      </c>
      <c r="I16" s="448">
        <f>4093.6-G16</f>
        <v>3280.2</v>
      </c>
      <c r="J16" s="494">
        <f t="shared" si="4"/>
        <v>13.645212819062198</v>
      </c>
      <c r="K16" s="448">
        <f>7227-G16-I16</f>
        <v>3133.4000000000005</v>
      </c>
      <c r="L16" s="494">
        <f t="shared" si="1"/>
        <v>13.03454357882126</v>
      </c>
      <c r="M16" s="442">
        <f t="shared" si="5"/>
        <v>16812.199999999997</v>
      </c>
      <c r="N16" s="494">
        <f t="shared" si="2"/>
        <v>69.93660354753901</v>
      </c>
      <c r="O16" s="493">
        <f t="shared" si="6"/>
        <v>115.3291114949146</v>
      </c>
    </row>
    <row r="17" spans="3:15" ht="18" customHeight="1">
      <c r="C17" s="467" t="s">
        <v>2728</v>
      </c>
      <c r="D17" s="475">
        <v>12580</v>
      </c>
      <c r="E17" s="476">
        <v>12583</v>
      </c>
      <c r="F17" s="552">
        <v>3667.3</v>
      </c>
      <c r="G17" s="480">
        <v>0</v>
      </c>
      <c r="H17" s="452">
        <f t="shared" si="0"/>
        <v>0</v>
      </c>
      <c r="I17" s="448">
        <f>30-G17</f>
        <v>30</v>
      </c>
      <c r="J17" s="494">
        <f t="shared" si="4"/>
        <v>0.8180405202737708</v>
      </c>
      <c r="K17" s="448">
        <f>1078.2-G17-I17</f>
        <v>1048.2</v>
      </c>
      <c r="L17" s="494">
        <f t="shared" si="1"/>
        <v>28.582335778365554</v>
      </c>
      <c r="M17" s="442">
        <f t="shared" si="5"/>
        <v>2589.1000000000004</v>
      </c>
      <c r="N17" s="494">
        <f t="shared" si="2"/>
        <v>70.59962370136068</v>
      </c>
      <c r="O17" s="493">
        <f t="shared" si="6"/>
        <v>29.14487801001351</v>
      </c>
    </row>
    <row r="18" spans="3:15" ht="18" customHeight="1">
      <c r="C18" s="467" t="s">
        <v>2729</v>
      </c>
      <c r="D18" s="475">
        <v>24504</v>
      </c>
      <c r="E18" s="476">
        <v>24504</v>
      </c>
      <c r="F18" s="552">
        <v>65896.6</v>
      </c>
      <c r="G18" s="480">
        <v>1956.1</v>
      </c>
      <c r="H18" s="452">
        <f t="shared" si="0"/>
        <v>2.9684384323318653</v>
      </c>
      <c r="I18" s="448">
        <f>10179.2-G18</f>
        <v>8223.1</v>
      </c>
      <c r="J18" s="494">
        <f t="shared" si="4"/>
        <v>12.478792532543407</v>
      </c>
      <c r="K18" s="448">
        <f>42760.7-G18-I18</f>
        <v>32581.5</v>
      </c>
      <c r="L18" s="494">
        <f t="shared" si="1"/>
        <v>49.443370371157236</v>
      </c>
      <c r="M18" s="442">
        <f t="shared" si="5"/>
        <v>23135.90000000001</v>
      </c>
      <c r="N18" s="494">
        <f t="shared" si="2"/>
        <v>35.1093986639675</v>
      </c>
      <c r="O18" s="493">
        <f t="shared" si="6"/>
        <v>268.9218086842965</v>
      </c>
    </row>
    <row r="19" spans="3:15" ht="18" customHeight="1">
      <c r="C19" s="467" t="s">
        <v>2730</v>
      </c>
      <c r="D19" s="475">
        <v>20314</v>
      </c>
      <c r="E19" s="476">
        <v>20743</v>
      </c>
      <c r="F19" s="552">
        <v>14517</v>
      </c>
      <c r="G19" s="480">
        <v>0</v>
      </c>
      <c r="H19" s="452">
        <f t="shared" si="0"/>
        <v>0</v>
      </c>
      <c r="I19" s="448">
        <f>1089.8-G19</f>
        <v>1089.8</v>
      </c>
      <c r="J19" s="494">
        <f t="shared" si="4"/>
        <v>7.507060687469863</v>
      </c>
      <c r="K19" s="448">
        <f>2479.3-G19-I19</f>
        <v>1389.5000000000002</v>
      </c>
      <c r="L19" s="494">
        <f t="shared" si="1"/>
        <v>9.57153681890198</v>
      </c>
      <c r="M19" s="442">
        <f t="shared" si="5"/>
        <v>12037.7</v>
      </c>
      <c r="N19" s="494">
        <f t="shared" si="2"/>
        <v>82.92140249362816</v>
      </c>
      <c r="O19" s="493">
        <f t="shared" si="6"/>
        <v>69.98505519934436</v>
      </c>
    </row>
    <row r="20" spans="3:15" ht="18" customHeight="1" thickBot="1">
      <c r="C20" s="458" t="s">
        <v>2700</v>
      </c>
      <c r="D20" s="481">
        <f>SUM(D12:D19)</f>
        <v>90607</v>
      </c>
      <c r="E20" s="482">
        <f aca="true" t="shared" si="7" ref="E20:M20">SUM(E12:E19)</f>
        <v>91803</v>
      </c>
      <c r="F20" s="495">
        <f t="shared" si="7"/>
        <v>136095</v>
      </c>
      <c r="G20" s="553">
        <f t="shared" si="7"/>
        <v>2769.5</v>
      </c>
      <c r="H20" s="466">
        <f t="shared" si="0"/>
        <v>2.034975568536684</v>
      </c>
      <c r="I20" s="482">
        <f t="shared" si="7"/>
        <v>15872.599999999999</v>
      </c>
      <c r="J20" s="498">
        <f t="shared" si="4"/>
        <v>11.662882545280869</v>
      </c>
      <c r="K20" s="482">
        <f t="shared" si="7"/>
        <v>53679.100000000006</v>
      </c>
      <c r="L20" s="498">
        <f t="shared" si="1"/>
        <v>39.44237481171241</v>
      </c>
      <c r="M20" s="482">
        <f t="shared" si="7"/>
        <v>63773.8</v>
      </c>
      <c r="N20" s="498">
        <f t="shared" si="2"/>
        <v>46.85976707447004</v>
      </c>
      <c r="O20" s="466">
        <f>F20*100/E20</f>
        <v>148.24678932061045</v>
      </c>
    </row>
    <row r="21" spans="3:15" ht="18" customHeight="1">
      <c r="C21" s="467" t="s">
        <v>2647</v>
      </c>
      <c r="D21" s="453">
        <v>5300</v>
      </c>
      <c r="E21" s="454">
        <v>5453</v>
      </c>
      <c r="F21" s="491">
        <v>7799.6</v>
      </c>
      <c r="G21" s="489">
        <v>0</v>
      </c>
      <c r="H21" s="486">
        <f t="shared" si="0"/>
        <v>0</v>
      </c>
      <c r="I21" s="448">
        <f>1543.9-G21</f>
        <v>1543.9</v>
      </c>
      <c r="J21" s="504">
        <f t="shared" si="4"/>
        <v>19.794604851530845</v>
      </c>
      <c r="K21" s="442">
        <f>3070.7-G21-I21</f>
        <v>1526.7999999999997</v>
      </c>
      <c r="L21" s="504">
        <f t="shared" si="1"/>
        <v>19.57536283911995</v>
      </c>
      <c r="M21" s="442">
        <f aca="true" t="shared" si="8" ref="M21:M26">F21-G21-I21-K21</f>
        <v>4728.9000000000015</v>
      </c>
      <c r="N21" s="504">
        <f t="shared" si="2"/>
        <v>60.63003230934921</v>
      </c>
      <c r="O21" s="503">
        <f aca="true" t="shared" si="9" ref="O21:O45">F21*100/E21</f>
        <v>143.03319273794241</v>
      </c>
    </row>
    <row r="22" spans="3:15" ht="18" customHeight="1">
      <c r="C22" s="467" t="s">
        <v>2648</v>
      </c>
      <c r="D22" s="453">
        <v>5300</v>
      </c>
      <c r="E22" s="454">
        <v>6036</v>
      </c>
      <c r="F22" s="491">
        <v>12347</v>
      </c>
      <c r="G22" s="489">
        <v>1655.2</v>
      </c>
      <c r="H22" s="452">
        <f t="shared" si="0"/>
        <v>13.405685591641694</v>
      </c>
      <c r="I22" s="448">
        <f>4444.5-G22</f>
        <v>2789.3</v>
      </c>
      <c r="J22" s="494">
        <f t="shared" si="4"/>
        <v>22.59091277233336</v>
      </c>
      <c r="K22" s="442">
        <f>11688.5-G22-I22</f>
        <v>7243.999999999999</v>
      </c>
      <c r="L22" s="494">
        <f t="shared" si="1"/>
        <v>58.67012229691422</v>
      </c>
      <c r="M22" s="442">
        <f t="shared" si="8"/>
        <v>658.5</v>
      </c>
      <c r="N22" s="494">
        <f t="shared" si="2"/>
        <v>5.333279339110715</v>
      </c>
      <c r="O22" s="493">
        <f t="shared" si="9"/>
        <v>204.5559973492379</v>
      </c>
    </row>
    <row r="23" spans="3:15" ht="18" customHeight="1">
      <c r="C23" s="467" t="s">
        <v>2649</v>
      </c>
      <c r="D23" s="453">
        <v>11716</v>
      </c>
      <c r="E23" s="454">
        <v>18472</v>
      </c>
      <c r="F23" s="491">
        <v>10389.4</v>
      </c>
      <c r="G23" s="489">
        <v>0</v>
      </c>
      <c r="H23" s="452">
        <f t="shared" si="0"/>
        <v>0</v>
      </c>
      <c r="I23" s="448">
        <f>40-G23</f>
        <v>40</v>
      </c>
      <c r="J23" s="494">
        <f t="shared" si="4"/>
        <v>0.3850077964078773</v>
      </c>
      <c r="K23" s="442">
        <f>8369.1-G23-I23</f>
        <v>8329.1</v>
      </c>
      <c r="L23" s="494">
        <f t="shared" si="1"/>
        <v>80.16921092652126</v>
      </c>
      <c r="M23" s="442">
        <f t="shared" si="8"/>
        <v>2020.2999999999993</v>
      </c>
      <c r="N23" s="494">
        <f t="shared" si="2"/>
        <v>19.445781277070857</v>
      </c>
      <c r="O23" s="493">
        <f t="shared" si="9"/>
        <v>56.24404504114335</v>
      </c>
    </row>
    <row r="24" spans="3:15" ht="18" customHeight="1">
      <c r="C24" s="467" t="s">
        <v>2650</v>
      </c>
      <c r="D24" s="453">
        <v>5300</v>
      </c>
      <c r="E24" s="454">
        <v>7300</v>
      </c>
      <c r="F24" s="491">
        <v>5698.6</v>
      </c>
      <c r="G24" s="489">
        <v>1323.9</v>
      </c>
      <c r="H24" s="452">
        <f t="shared" si="0"/>
        <v>23.232021900115818</v>
      </c>
      <c r="I24" s="448">
        <f>3187.1-G24</f>
        <v>1863.1999999999998</v>
      </c>
      <c r="J24" s="494">
        <f t="shared" si="4"/>
        <v>32.69574983329238</v>
      </c>
      <c r="K24" s="442">
        <f>3187.1-G24-I24</f>
        <v>0</v>
      </c>
      <c r="L24" s="494">
        <f t="shared" si="1"/>
        <v>0</v>
      </c>
      <c r="M24" s="442">
        <f t="shared" si="8"/>
        <v>2511.500000000001</v>
      </c>
      <c r="N24" s="494">
        <f t="shared" si="2"/>
        <v>44.07222826659181</v>
      </c>
      <c r="O24" s="493">
        <f t="shared" si="9"/>
        <v>78.06301369863014</v>
      </c>
    </row>
    <row r="25" spans="3:15" ht="18" customHeight="1">
      <c r="C25" s="446" t="s">
        <v>2651</v>
      </c>
      <c r="D25" s="453">
        <v>3900</v>
      </c>
      <c r="E25" s="454">
        <v>4367</v>
      </c>
      <c r="F25" s="491">
        <v>23860</v>
      </c>
      <c r="G25" s="489">
        <v>0</v>
      </c>
      <c r="H25" s="452">
        <f t="shared" si="0"/>
        <v>0</v>
      </c>
      <c r="I25" s="448">
        <f>239.5-G25</f>
        <v>239.5</v>
      </c>
      <c r="J25" s="494">
        <f t="shared" si="4"/>
        <v>1.0037720033528919</v>
      </c>
      <c r="K25" s="442">
        <f>4321.1-G25-I25</f>
        <v>4081.6000000000004</v>
      </c>
      <c r="L25" s="494">
        <f t="shared" si="1"/>
        <v>17.106454316848286</v>
      </c>
      <c r="M25" s="442">
        <f t="shared" si="8"/>
        <v>19538.9</v>
      </c>
      <c r="N25" s="494">
        <f t="shared" si="2"/>
        <v>81.88977367979884</v>
      </c>
      <c r="O25" s="493">
        <f t="shared" si="9"/>
        <v>546.370506068239</v>
      </c>
    </row>
    <row r="26" spans="3:15" ht="18" customHeight="1">
      <c r="C26" s="467" t="s">
        <v>2652</v>
      </c>
      <c r="D26" s="453">
        <v>1800</v>
      </c>
      <c r="E26" s="454">
        <v>1780</v>
      </c>
      <c r="F26" s="491">
        <v>2600</v>
      </c>
      <c r="G26" s="489">
        <v>0</v>
      </c>
      <c r="H26" s="452">
        <f t="shared" si="0"/>
        <v>0</v>
      </c>
      <c r="I26" s="448">
        <f>340.5-G26</f>
        <v>340.5</v>
      </c>
      <c r="J26" s="494">
        <f t="shared" si="4"/>
        <v>13.096153846153847</v>
      </c>
      <c r="K26" s="442">
        <f>1200.1-G26-I26</f>
        <v>859.5999999999999</v>
      </c>
      <c r="L26" s="494">
        <f t="shared" si="1"/>
        <v>33.061538461538454</v>
      </c>
      <c r="M26" s="442">
        <f t="shared" si="8"/>
        <v>1399.9</v>
      </c>
      <c r="N26" s="494">
        <f t="shared" si="2"/>
        <v>53.84230769230769</v>
      </c>
      <c r="O26" s="493">
        <f t="shared" si="9"/>
        <v>146.06741573033707</v>
      </c>
    </row>
    <row r="27" spans="3:15" ht="18" customHeight="1">
      <c r="C27" s="467" t="s">
        <v>2653</v>
      </c>
      <c r="D27" s="488">
        <f>SUM(D21:D26)</f>
        <v>33316</v>
      </c>
      <c r="E27" s="454">
        <f aca="true" t="shared" si="10" ref="E27:M27">SUM(E21:E26)</f>
        <v>43408</v>
      </c>
      <c r="F27" s="491">
        <f t="shared" si="10"/>
        <v>62694.6</v>
      </c>
      <c r="G27" s="489">
        <f t="shared" si="10"/>
        <v>2979.1000000000004</v>
      </c>
      <c r="H27" s="452">
        <f t="shared" si="0"/>
        <v>4.75176490479244</v>
      </c>
      <c r="I27" s="454">
        <f t="shared" si="10"/>
        <v>6816.400000000001</v>
      </c>
      <c r="J27" s="494">
        <f t="shared" si="4"/>
        <v>10.87238773355281</v>
      </c>
      <c r="K27" s="454">
        <f t="shared" si="10"/>
        <v>22041.1</v>
      </c>
      <c r="L27" s="494">
        <f t="shared" si="1"/>
        <v>35.15629735256306</v>
      </c>
      <c r="M27" s="454">
        <f t="shared" si="10"/>
        <v>30858.000000000004</v>
      </c>
      <c r="N27" s="494">
        <f t="shared" si="2"/>
        <v>49.2195500090917</v>
      </c>
      <c r="O27" s="493">
        <f t="shared" si="9"/>
        <v>144.43098046443052</v>
      </c>
    </row>
    <row r="28" spans="3:15" ht="18" customHeight="1">
      <c r="C28" s="467" t="s">
        <v>2699</v>
      </c>
      <c r="D28" s="441">
        <v>8300</v>
      </c>
      <c r="E28" s="442">
        <v>11133</v>
      </c>
      <c r="F28" s="543">
        <v>21374</v>
      </c>
      <c r="G28" s="544">
        <v>0</v>
      </c>
      <c r="H28" s="452">
        <f t="shared" si="0"/>
        <v>0</v>
      </c>
      <c r="I28" s="448">
        <f>0-G28</f>
        <v>0</v>
      </c>
      <c r="J28" s="494">
        <f t="shared" si="4"/>
        <v>0</v>
      </c>
      <c r="K28" s="442">
        <f>2737.3-G28-I28</f>
        <v>2737.3</v>
      </c>
      <c r="L28" s="494">
        <f t="shared" si="1"/>
        <v>12.806681014316458</v>
      </c>
      <c r="M28" s="442">
        <f>F28-G28-I28-K28</f>
        <v>18636.7</v>
      </c>
      <c r="N28" s="494">
        <f t="shared" si="2"/>
        <v>87.19331898568355</v>
      </c>
      <c r="O28" s="493">
        <f t="shared" si="9"/>
        <v>191.98778406539117</v>
      </c>
    </row>
    <row r="29" spans="3:15" ht="18" customHeight="1">
      <c r="C29" s="487" t="s">
        <v>2703</v>
      </c>
      <c r="D29" s="489">
        <f>SUM(D27:D28)</f>
        <v>41616</v>
      </c>
      <c r="E29" s="454">
        <f aca="true" t="shared" si="11" ref="E29:M29">SUM(E27:E28)</f>
        <v>54541</v>
      </c>
      <c r="F29" s="491">
        <f t="shared" si="11"/>
        <v>84068.6</v>
      </c>
      <c r="G29" s="489">
        <f t="shared" si="11"/>
        <v>2979.1000000000004</v>
      </c>
      <c r="H29" s="452">
        <f t="shared" si="0"/>
        <v>3.5436536352455024</v>
      </c>
      <c r="I29" s="454">
        <f t="shared" si="11"/>
        <v>6816.400000000001</v>
      </c>
      <c r="J29" s="494">
        <f t="shared" si="4"/>
        <v>8.108140256885449</v>
      </c>
      <c r="K29" s="454">
        <f t="shared" si="11"/>
        <v>24778.399999999998</v>
      </c>
      <c r="L29" s="494">
        <f t="shared" si="1"/>
        <v>29.47402478452121</v>
      </c>
      <c r="M29" s="454">
        <f t="shared" si="11"/>
        <v>49494.700000000004</v>
      </c>
      <c r="N29" s="494">
        <f t="shared" si="2"/>
        <v>58.874181323347834</v>
      </c>
      <c r="O29" s="493">
        <f t="shared" si="9"/>
        <v>154.13835463229498</v>
      </c>
    </row>
    <row r="30" spans="3:15" ht="18" customHeight="1">
      <c r="C30" s="490" t="s">
        <v>2704</v>
      </c>
      <c r="D30" s="468">
        <v>10500</v>
      </c>
      <c r="E30" s="469">
        <v>4200</v>
      </c>
      <c r="F30" s="550">
        <v>1586.2</v>
      </c>
      <c r="G30" s="551">
        <v>0</v>
      </c>
      <c r="H30" s="452">
        <f t="shared" si="0"/>
        <v>0</v>
      </c>
      <c r="I30" s="448">
        <f>0-G30</f>
        <v>0</v>
      </c>
      <c r="J30" s="494">
        <f t="shared" si="4"/>
        <v>0</v>
      </c>
      <c r="K30" s="442">
        <f>593.7-G30-I30</f>
        <v>593.7</v>
      </c>
      <c r="L30" s="494">
        <f t="shared" si="1"/>
        <v>37.429075778590345</v>
      </c>
      <c r="M30" s="442">
        <f>F30-G30-I30-K30</f>
        <v>992.5</v>
      </c>
      <c r="N30" s="494">
        <f t="shared" si="2"/>
        <v>62.570924221409655</v>
      </c>
      <c r="O30" s="493">
        <f t="shared" si="9"/>
        <v>37.766666666666666</v>
      </c>
    </row>
    <row r="31" spans="3:15" ht="18" customHeight="1">
      <c r="C31" s="487" t="s">
        <v>2705</v>
      </c>
      <c r="D31" s="488">
        <f>SUM(D29:D30)</f>
        <v>52116</v>
      </c>
      <c r="E31" s="454">
        <f aca="true" t="shared" si="12" ref="E31:M31">SUM(E29:E30)</f>
        <v>58741</v>
      </c>
      <c r="F31" s="491">
        <f t="shared" si="12"/>
        <v>85654.8</v>
      </c>
      <c r="G31" s="489">
        <f t="shared" si="12"/>
        <v>2979.1000000000004</v>
      </c>
      <c r="H31" s="452">
        <f t="shared" si="0"/>
        <v>3.478030419777993</v>
      </c>
      <c r="I31" s="454">
        <f t="shared" si="12"/>
        <v>6816.400000000001</v>
      </c>
      <c r="J31" s="494">
        <f t="shared" si="4"/>
        <v>7.957989511387569</v>
      </c>
      <c r="K31" s="454">
        <f t="shared" si="12"/>
        <v>25372.1</v>
      </c>
      <c r="L31" s="494">
        <f t="shared" si="1"/>
        <v>29.62134054367064</v>
      </c>
      <c r="M31" s="454">
        <f t="shared" si="12"/>
        <v>50487.200000000004</v>
      </c>
      <c r="N31" s="494">
        <f t="shared" si="2"/>
        <v>58.9426395251638</v>
      </c>
      <c r="O31" s="493">
        <f t="shared" si="9"/>
        <v>145.8177422924363</v>
      </c>
    </row>
    <row r="32" spans="3:15" ht="18" customHeight="1">
      <c r="C32" s="490" t="s">
        <v>2706</v>
      </c>
      <c r="D32" s="468">
        <v>675289</v>
      </c>
      <c r="E32" s="469">
        <v>725691</v>
      </c>
      <c r="F32" s="550">
        <v>795187.1</v>
      </c>
      <c r="G32" s="551">
        <v>16348.7</v>
      </c>
      <c r="H32" s="452">
        <f t="shared" si="0"/>
        <v>2.055956390640643</v>
      </c>
      <c r="I32" s="469">
        <f>90062.5-G32</f>
        <v>73713.8</v>
      </c>
      <c r="J32" s="494">
        <f t="shared" si="4"/>
        <v>9.269994445332426</v>
      </c>
      <c r="K32" s="442">
        <f>204805.9-G32-I32</f>
        <v>114743.39999999998</v>
      </c>
      <c r="L32" s="494">
        <f t="shared" si="1"/>
        <v>14.429736096070974</v>
      </c>
      <c r="M32" s="442">
        <f>F32-G32-I32-K32</f>
        <v>590381.2</v>
      </c>
      <c r="N32" s="494">
        <f t="shared" si="2"/>
        <v>74.24431306795594</v>
      </c>
      <c r="O32" s="493">
        <f t="shared" si="9"/>
        <v>109.57654153076172</v>
      </c>
    </row>
    <row r="33" spans="3:15" ht="18" customHeight="1">
      <c r="C33" s="446" t="s">
        <v>2663</v>
      </c>
      <c r="D33" s="453">
        <v>20364</v>
      </c>
      <c r="E33" s="454">
        <v>20549</v>
      </c>
      <c r="F33" s="491">
        <v>42022</v>
      </c>
      <c r="G33" s="489">
        <v>0</v>
      </c>
      <c r="H33" s="452">
        <f t="shared" si="0"/>
        <v>0</v>
      </c>
      <c r="I33" s="448">
        <f>0-G33</f>
        <v>0</v>
      </c>
      <c r="J33" s="494">
        <f t="shared" si="4"/>
        <v>0</v>
      </c>
      <c r="K33" s="442">
        <f>1008.8-G33-I33</f>
        <v>1008.8</v>
      </c>
      <c r="L33" s="494">
        <f t="shared" si="1"/>
        <v>2.4006472799961927</v>
      </c>
      <c r="M33" s="442">
        <f>F33-G33-I33-K33</f>
        <v>41013.2</v>
      </c>
      <c r="N33" s="494">
        <f t="shared" si="2"/>
        <v>97.5993527200038</v>
      </c>
      <c r="O33" s="493">
        <f t="shared" si="9"/>
        <v>204.49656917611563</v>
      </c>
    </row>
    <row r="34" spans="3:15" ht="18" customHeight="1">
      <c r="C34" s="446" t="s">
        <v>2664</v>
      </c>
      <c r="D34" s="453">
        <v>1800</v>
      </c>
      <c r="E34" s="454">
        <v>1800</v>
      </c>
      <c r="F34" s="491">
        <v>3800</v>
      </c>
      <c r="G34" s="489">
        <v>0</v>
      </c>
      <c r="H34" s="452">
        <f t="shared" si="0"/>
        <v>0</v>
      </c>
      <c r="I34" s="448">
        <f>0-G34</f>
        <v>0</v>
      </c>
      <c r="J34" s="494">
        <f t="shared" si="4"/>
        <v>0</v>
      </c>
      <c r="K34" s="442">
        <f>1652.6-G34-I34</f>
        <v>1652.6</v>
      </c>
      <c r="L34" s="494">
        <f t="shared" si="1"/>
        <v>43.48947368421052</v>
      </c>
      <c r="M34" s="442">
        <f>F34-G34-I34-K34</f>
        <v>2147.4</v>
      </c>
      <c r="N34" s="494">
        <f t="shared" si="2"/>
        <v>56.51052631578948</v>
      </c>
      <c r="O34" s="493">
        <f t="shared" si="9"/>
        <v>211.11111111111111</v>
      </c>
    </row>
    <row r="35" spans="3:15" ht="18" customHeight="1" thickBot="1">
      <c r="C35" s="458" t="s">
        <v>2707</v>
      </c>
      <c r="D35" s="481">
        <f>SUM(D32:D34)</f>
        <v>697453</v>
      </c>
      <c r="E35" s="482">
        <f aca="true" t="shared" si="13" ref="E35:M35">SUM(E32:E34)</f>
        <v>748040</v>
      </c>
      <c r="F35" s="495">
        <f t="shared" si="13"/>
        <v>841009.1</v>
      </c>
      <c r="G35" s="553">
        <f t="shared" si="13"/>
        <v>16348.7</v>
      </c>
      <c r="H35" s="554">
        <f t="shared" si="0"/>
        <v>1.9439385376448364</v>
      </c>
      <c r="I35" s="482">
        <f t="shared" si="13"/>
        <v>73713.8</v>
      </c>
      <c r="J35" s="498">
        <f t="shared" si="4"/>
        <v>8.76492299548245</v>
      </c>
      <c r="K35" s="482">
        <f t="shared" si="13"/>
        <v>117404.79999999999</v>
      </c>
      <c r="L35" s="498">
        <f t="shared" si="1"/>
        <v>13.959991633859845</v>
      </c>
      <c r="M35" s="482">
        <f t="shared" si="13"/>
        <v>633541.7999999999</v>
      </c>
      <c r="N35" s="498">
        <f t="shared" si="2"/>
        <v>75.33114683301285</v>
      </c>
      <c r="O35" s="466">
        <f t="shared" si="9"/>
        <v>112.42835944601893</v>
      </c>
    </row>
    <row r="36" spans="3:15" ht="18" customHeight="1" thickBot="1">
      <c r="C36" s="499" t="s">
        <v>2708</v>
      </c>
      <c r="D36" s="481">
        <f>D11+D20+D31+D35</f>
        <v>3430362</v>
      </c>
      <c r="E36" s="482">
        <f>E11+E20+E31+E35</f>
        <v>3647186</v>
      </c>
      <c r="F36" s="495">
        <f aca="true" t="shared" si="14" ref="F36:M36">F11+F20+F31+F35</f>
        <v>4398297.6</v>
      </c>
      <c r="G36" s="553">
        <f t="shared" si="14"/>
        <v>391464.8</v>
      </c>
      <c r="H36" s="536">
        <f t="shared" si="0"/>
        <v>8.90037090714371</v>
      </c>
      <c r="I36" s="482">
        <f t="shared" si="14"/>
        <v>462356.3000000001</v>
      </c>
      <c r="J36" s="501">
        <f t="shared" si="4"/>
        <v>10.512164979468423</v>
      </c>
      <c r="K36" s="482">
        <f t="shared" si="14"/>
        <v>953214.7999999998</v>
      </c>
      <c r="L36" s="501">
        <f t="shared" si="1"/>
        <v>21.672357959588727</v>
      </c>
      <c r="M36" s="482">
        <f t="shared" si="14"/>
        <v>2591261.6999999997</v>
      </c>
      <c r="N36" s="501">
        <f t="shared" si="2"/>
        <v>58.915106153799144</v>
      </c>
      <c r="O36" s="502">
        <f t="shared" si="9"/>
        <v>120.59427734149011</v>
      </c>
    </row>
    <row r="37" spans="3:15" ht="18" customHeight="1">
      <c r="C37" s="440" t="s">
        <v>2709</v>
      </c>
      <c r="D37" s="453">
        <v>302500</v>
      </c>
      <c r="E37" s="454">
        <v>548936</v>
      </c>
      <c r="F37" s="491">
        <v>399978</v>
      </c>
      <c r="G37" s="489">
        <v>1554.6</v>
      </c>
      <c r="H37" s="486">
        <f t="shared" si="0"/>
        <v>0.3886713769257309</v>
      </c>
      <c r="I37" s="448">
        <f>1647.1-G37</f>
        <v>92.5</v>
      </c>
      <c r="J37" s="504">
        <f t="shared" si="4"/>
        <v>0.023126271944956974</v>
      </c>
      <c r="K37" s="442">
        <f>4267.7-G37-I37</f>
        <v>2620.6</v>
      </c>
      <c r="L37" s="504">
        <f t="shared" si="1"/>
        <v>0.6551860352319377</v>
      </c>
      <c r="M37" s="442">
        <f>F37-G37-I37-K37</f>
        <v>395710.30000000005</v>
      </c>
      <c r="N37" s="504">
        <f t="shared" si="2"/>
        <v>98.93301631589739</v>
      </c>
      <c r="O37" s="503">
        <f t="shared" si="9"/>
        <v>72.86423189588587</v>
      </c>
    </row>
    <row r="38" spans="3:15" ht="18" customHeight="1">
      <c r="C38" s="446" t="s">
        <v>2710</v>
      </c>
      <c r="D38" s="453">
        <v>1000</v>
      </c>
      <c r="E38" s="454">
        <v>1000</v>
      </c>
      <c r="F38" s="491">
        <v>5000</v>
      </c>
      <c r="G38" s="489">
        <v>0</v>
      </c>
      <c r="H38" s="452">
        <f t="shared" si="0"/>
        <v>0</v>
      </c>
      <c r="I38" s="448">
        <f>0-G38</f>
        <v>0</v>
      </c>
      <c r="J38" s="494">
        <f t="shared" si="4"/>
        <v>0</v>
      </c>
      <c r="K38" s="442">
        <f>4953-G38-I38</f>
        <v>4953</v>
      </c>
      <c r="L38" s="494">
        <f t="shared" si="1"/>
        <v>99.06</v>
      </c>
      <c r="M38" s="442">
        <f>F38-G38-I38-K38</f>
        <v>47</v>
      </c>
      <c r="N38" s="494">
        <f t="shared" si="2"/>
        <v>0.94</v>
      </c>
      <c r="O38" s="493">
        <f t="shared" si="9"/>
        <v>500</v>
      </c>
    </row>
    <row r="39" spans="3:15" ht="18" customHeight="1">
      <c r="C39" s="446" t="s">
        <v>2711</v>
      </c>
      <c r="D39" s="453">
        <v>3200</v>
      </c>
      <c r="E39" s="454">
        <v>11901</v>
      </c>
      <c r="F39" s="491">
        <v>8203</v>
      </c>
      <c r="G39" s="489">
        <v>6620</v>
      </c>
      <c r="H39" s="452">
        <f t="shared" si="0"/>
        <v>80.70218212848958</v>
      </c>
      <c r="I39" s="448">
        <f>7000-G39</f>
        <v>380</v>
      </c>
      <c r="J39" s="494">
        <f t="shared" si="4"/>
        <v>4.632451542118737</v>
      </c>
      <c r="K39" s="442">
        <f>8203-G39-I39</f>
        <v>1203</v>
      </c>
      <c r="L39" s="494">
        <f t="shared" si="1"/>
        <v>14.665366329391686</v>
      </c>
      <c r="M39" s="442">
        <f>F39-G39-I39-K39</f>
        <v>0</v>
      </c>
      <c r="N39" s="494">
        <f t="shared" si="2"/>
        <v>0</v>
      </c>
      <c r="O39" s="493">
        <f t="shared" si="9"/>
        <v>68.9269809259726</v>
      </c>
    </row>
    <row r="40" spans="3:15" ht="18" customHeight="1">
      <c r="C40" s="467" t="s">
        <v>2712</v>
      </c>
      <c r="D40" s="475">
        <v>0</v>
      </c>
      <c r="E40" s="476">
        <v>0</v>
      </c>
      <c r="F40" s="552">
        <v>0</v>
      </c>
      <c r="G40" s="480">
        <v>0</v>
      </c>
      <c r="H40" s="452">
        <v>0</v>
      </c>
      <c r="I40" s="448">
        <f>0-G40</f>
        <v>0</v>
      </c>
      <c r="J40" s="494">
        <v>0</v>
      </c>
      <c r="K40" s="442">
        <f>0-G40-I40</f>
        <v>0</v>
      </c>
      <c r="L40" s="494">
        <v>0</v>
      </c>
      <c r="M40" s="442">
        <f>F40-G40-I40-K40</f>
        <v>0</v>
      </c>
      <c r="N40" s="494">
        <v>0</v>
      </c>
      <c r="O40" s="493">
        <v>0</v>
      </c>
    </row>
    <row r="41" spans="3:15" ht="18" customHeight="1">
      <c r="C41" s="446" t="s">
        <v>2713</v>
      </c>
      <c r="D41" s="453">
        <v>2000</v>
      </c>
      <c r="E41" s="454">
        <v>2000</v>
      </c>
      <c r="F41" s="491">
        <v>8000</v>
      </c>
      <c r="G41" s="489">
        <v>0</v>
      </c>
      <c r="H41" s="452">
        <f t="shared" si="0"/>
        <v>0</v>
      </c>
      <c r="I41" s="448">
        <f>0-G41</f>
        <v>0</v>
      </c>
      <c r="J41" s="494">
        <f t="shared" si="4"/>
        <v>0</v>
      </c>
      <c r="K41" s="442">
        <f>0-G41-I41</f>
        <v>0</v>
      </c>
      <c r="L41" s="494">
        <f t="shared" si="1"/>
        <v>0</v>
      </c>
      <c r="M41" s="442">
        <f>F41-G41-I41-K41</f>
        <v>8000</v>
      </c>
      <c r="N41" s="494">
        <f t="shared" si="2"/>
        <v>100</v>
      </c>
      <c r="O41" s="493">
        <f t="shared" si="9"/>
        <v>400</v>
      </c>
    </row>
    <row r="42" spans="3:15" ht="18" customHeight="1" thickBot="1">
      <c r="C42" s="458" t="s">
        <v>2714</v>
      </c>
      <c r="D42" s="505">
        <f>SUM(D37:D41)</f>
        <v>308700</v>
      </c>
      <c r="E42" s="506">
        <f>SUM(E37:E41)</f>
        <v>563837</v>
      </c>
      <c r="F42" s="507">
        <f aca="true" t="shared" si="15" ref="F42:M42">SUM(F37:F41)</f>
        <v>421181</v>
      </c>
      <c r="G42" s="555">
        <f t="shared" si="15"/>
        <v>8174.6</v>
      </c>
      <c r="H42" s="512">
        <f t="shared" si="0"/>
        <v>1.940875775497945</v>
      </c>
      <c r="I42" s="506">
        <f t="shared" si="15"/>
        <v>472.5</v>
      </c>
      <c r="J42" s="510">
        <f t="shared" si="4"/>
        <v>0.11218454773600899</v>
      </c>
      <c r="K42" s="506">
        <f t="shared" si="15"/>
        <v>8776.6</v>
      </c>
      <c r="L42" s="511">
        <f t="shared" si="1"/>
        <v>2.0838071992801193</v>
      </c>
      <c r="M42" s="506">
        <f t="shared" si="15"/>
        <v>403757.30000000005</v>
      </c>
      <c r="N42" s="510">
        <f t="shared" si="2"/>
        <v>95.86313247748595</v>
      </c>
      <c r="O42" s="512">
        <f t="shared" si="9"/>
        <v>74.69907083075428</v>
      </c>
    </row>
    <row r="43" spans="3:15" ht="18" customHeight="1" hidden="1" thickBot="1">
      <c r="C43" s="513" t="s">
        <v>2715</v>
      </c>
      <c r="D43" s="514">
        <f>D36+D42</f>
        <v>3739062</v>
      </c>
      <c r="E43" s="515">
        <f aca="true" t="shared" si="16" ref="E43:M43">E36+E42</f>
        <v>4211023</v>
      </c>
      <c r="F43" s="516">
        <f t="shared" si="16"/>
        <v>4819478.6</v>
      </c>
      <c r="G43" s="556">
        <f t="shared" si="16"/>
        <v>399639.39999999997</v>
      </c>
      <c r="H43" s="521">
        <f t="shared" si="0"/>
        <v>8.292170858482493</v>
      </c>
      <c r="I43" s="515">
        <f t="shared" si="16"/>
        <v>462828.8000000001</v>
      </c>
      <c r="J43" s="519">
        <f t="shared" si="4"/>
        <v>9.603296090992085</v>
      </c>
      <c r="K43" s="515">
        <f t="shared" si="16"/>
        <v>961991.3999999998</v>
      </c>
      <c r="L43" s="520">
        <f t="shared" si="1"/>
        <v>19.96048701201827</v>
      </c>
      <c r="M43" s="515">
        <f t="shared" si="16"/>
        <v>2995019</v>
      </c>
      <c r="N43" s="519">
        <f t="shared" si="2"/>
        <v>62.144046038507156</v>
      </c>
      <c r="O43" s="518">
        <f t="shared" si="9"/>
        <v>114.44911604614839</v>
      </c>
    </row>
    <row r="44" spans="3:15" ht="18" customHeight="1" hidden="1" thickBot="1" thickTop="1">
      <c r="C44" s="522" t="s">
        <v>2716</v>
      </c>
      <c r="D44" s="523">
        <v>0</v>
      </c>
      <c r="E44" s="524">
        <v>0</v>
      </c>
      <c r="F44" s="525">
        <v>0</v>
      </c>
      <c r="G44" s="557">
        <v>0</v>
      </c>
      <c r="H44" s="529">
        <v>0</v>
      </c>
      <c r="I44" s="524">
        <v>0</v>
      </c>
      <c r="J44" s="528">
        <v>0</v>
      </c>
      <c r="K44" s="524"/>
      <c r="L44" s="519">
        <v>0</v>
      </c>
      <c r="M44" s="442">
        <f>F44-G44-I44-K44</f>
        <v>0</v>
      </c>
      <c r="N44" s="528">
        <v>0</v>
      </c>
      <c r="O44" s="529">
        <v>0</v>
      </c>
    </row>
    <row r="45" spans="3:15" ht="18" customHeight="1" thickBot="1">
      <c r="C45" s="499" t="s">
        <v>2666</v>
      </c>
      <c r="D45" s="530">
        <f>SUM(D43+D44)</f>
        <v>3739062</v>
      </c>
      <c r="E45" s="531">
        <f>SUM(E43+E44)</f>
        <v>4211023</v>
      </c>
      <c r="F45" s="532">
        <f aca="true" t="shared" si="17" ref="F45:M45">SUM(F43+F44)</f>
        <v>4819478.6</v>
      </c>
      <c r="G45" s="558">
        <f t="shared" si="17"/>
        <v>399639.39999999997</v>
      </c>
      <c r="H45" s="559">
        <f t="shared" si="0"/>
        <v>8.292170858482493</v>
      </c>
      <c r="I45" s="531">
        <f t="shared" si="17"/>
        <v>462828.8000000001</v>
      </c>
      <c r="J45" s="535">
        <f t="shared" si="4"/>
        <v>9.603296090992085</v>
      </c>
      <c r="K45" s="531">
        <f t="shared" si="17"/>
        <v>961991.3999999998</v>
      </c>
      <c r="L45" s="535">
        <f t="shared" si="1"/>
        <v>19.96048701201827</v>
      </c>
      <c r="M45" s="531">
        <f t="shared" si="17"/>
        <v>2995019</v>
      </c>
      <c r="N45" s="535">
        <f t="shared" si="2"/>
        <v>62.144046038507156</v>
      </c>
      <c r="O45" s="536">
        <f t="shared" si="9"/>
        <v>114.44911604614839</v>
      </c>
    </row>
    <row r="46" spans="3:15" ht="12.75">
      <c r="C46" s="537"/>
      <c r="D46" s="393"/>
      <c r="E46" s="393"/>
      <c r="F46" s="393"/>
      <c r="G46" s="393"/>
      <c r="H46" s="538"/>
      <c r="I46" s="395"/>
      <c r="J46" s="538"/>
      <c r="K46" s="393"/>
      <c r="L46" s="538"/>
      <c r="M46" s="393"/>
      <c r="N46" s="538"/>
      <c r="O46" s="538"/>
    </row>
    <row r="47" spans="3:15" ht="12.75">
      <c r="C47" s="170" t="s">
        <v>2717</v>
      </c>
      <c r="D47" s="393"/>
      <c r="E47" s="393"/>
      <c r="F47" s="393"/>
      <c r="G47" s="393"/>
      <c r="H47" s="538"/>
      <c r="I47" s="393"/>
      <c r="J47" s="538"/>
      <c r="K47" s="393"/>
      <c r="L47" s="538"/>
      <c r="M47" s="393"/>
      <c r="N47" s="538"/>
      <c r="O47" s="538"/>
    </row>
    <row r="48" spans="3:15" ht="12.75" hidden="1">
      <c r="C48" t="s">
        <v>2718</v>
      </c>
      <c r="D48" s="393"/>
      <c r="E48" s="393"/>
      <c r="F48" s="393"/>
      <c r="G48" s="393"/>
      <c r="H48" s="538"/>
      <c r="I48" s="393"/>
      <c r="J48" s="538"/>
      <c r="K48" s="393"/>
      <c r="L48" s="538"/>
      <c r="M48" s="393"/>
      <c r="N48" s="538"/>
      <c r="O48" s="538"/>
    </row>
    <row r="49" ht="12.75" hidden="1">
      <c r="C49" t="s">
        <v>2719</v>
      </c>
    </row>
    <row r="50" spans="1:67" s="560" customFormat="1" ht="12.75">
      <c r="A50" s="267"/>
      <c r="B50" s="267"/>
      <c r="C50" s="1258" t="s">
        <v>3804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</row>
    <row r="51" ht="12.75">
      <c r="C51" t="s">
        <v>2720</v>
      </c>
    </row>
    <row r="53" ht="12.75">
      <c r="C53" s="537" t="s">
        <v>2721</v>
      </c>
    </row>
    <row r="54" ht="12.75">
      <c r="C54" s="170"/>
    </row>
    <row r="56" spans="3:14" ht="15">
      <c r="C56" t="s">
        <v>3746</v>
      </c>
      <c r="I56" s="144" t="s">
        <v>3602</v>
      </c>
      <c r="M56" s="1952" t="s">
        <v>3510</v>
      </c>
      <c r="N56" s="1952"/>
    </row>
  </sheetData>
  <mergeCells count="3">
    <mergeCell ref="C2:N2"/>
    <mergeCell ref="M1:N1"/>
    <mergeCell ref="M56:N5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Footer>&amp;C&amp;12&amp;P+143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"/>
  <sheetViews>
    <sheetView workbookViewId="0" topLeftCell="B1">
      <selection activeCell="B15" sqref="B15"/>
    </sheetView>
  </sheetViews>
  <sheetFormatPr defaultColWidth="9.00390625" defaultRowHeight="12.75"/>
  <cols>
    <col min="1" max="1" width="0" style="0" hidden="1" customWidth="1"/>
    <col min="2" max="2" width="32.375" style="0" customWidth="1"/>
    <col min="3" max="3" width="13.125" style="0" hidden="1" customWidth="1"/>
    <col min="4" max="4" width="12.625" style="0" hidden="1" customWidth="1"/>
    <col min="5" max="5" width="14.00390625" style="0" customWidth="1"/>
    <col min="6" max="6" width="13.00390625" style="0" customWidth="1"/>
    <col min="7" max="7" width="8.50390625" style="0" customWidth="1"/>
    <col min="8" max="8" width="12.375" style="0" customWidth="1"/>
    <col min="9" max="9" width="8.50390625" style="0" customWidth="1"/>
    <col min="10" max="10" width="11.50390625" style="0" customWidth="1"/>
    <col min="11" max="11" width="8.375" style="0" customWidth="1"/>
    <col min="12" max="12" width="12.125" style="0" customWidth="1"/>
    <col min="13" max="13" width="8.00390625" style="0" customWidth="1"/>
    <col min="14" max="14" width="0" style="0" hidden="1" customWidth="1"/>
  </cols>
  <sheetData>
    <row r="1" spans="2:14" ht="13.5">
      <c r="B1" s="1682" t="s">
        <v>3513</v>
      </c>
      <c r="L1" s="1954" t="s">
        <v>3735</v>
      </c>
      <c r="M1" s="1954"/>
      <c r="N1" s="271"/>
    </row>
    <row r="2" spans="2:14" ht="12.75">
      <c r="B2" s="24"/>
      <c r="N2" s="271"/>
    </row>
    <row r="3" spans="2:14" ht="17.25">
      <c r="B3" s="1854" t="s">
        <v>3743</v>
      </c>
      <c r="C3" s="1854"/>
      <c r="D3" s="1854"/>
      <c r="E3" s="1854"/>
      <c r="F3" s="1854"/>
      <c r="G3" s="1854"/>
      <c r="H3" s="1854"/>
      <c r="I3" s="1854"/>
      <c r="J3" s="1854"/>
      <c r="K3" s="1854"/>
      <c r="L3" s="1854"/>
      <c r="M3" s="1854"/>
      <c r="N3" s="271"/>
    </row>
    <row r="4" spans="2:14" ht="15">
      <c r="B4" s="415"/>
      <c r="E4" s="415"/>
      <c r="F4" s="415"/>
      <c r="N4" s="271"/>
    </row>
    <row r="5" spans="2:14" ht="13.5" thickBot="1">
      <c r="B5" s="266"/>
      <c r="M5" s="271" t="s">
        <v>2575</v>
      </c>
      <c r="N5" s="271" t="s">
        <v>2575</v>
      </c>
    </row>
    <row r="6" spans="2:14" ht="18" customHeight="1" thickBot="1">
      <c r="B6" s="417"/>
      <c r="C6" s="425" t="s">
        <v>2685</v>
      </c>
      <c r="D6" s="419"/>
      <c r="E6" s="420" t="s">
        <v>2686</v>
      </c>
      <c r="F6" s="420"/>
      <c r="G6" s="420"/>
      <c r="H6" s="420" t="s">
        <v>2687</v>
      </c>
      <c r="I6" s="420"/>
      <c r="J6" s="420"/>
      <c r="K6" s="420"/>
      <c r="L6" s="420"/>
      <c r="M6" s="421"/>
      <c r="N6" s="539"/>
    </row>
    <row r="7" spans="2:14" ht="18" customHeight="1" thickBot="1">
      <c r="B7" s="423" t="s">
        <v>2583</v>
      </c>
      <c r="C7" s="421"/>
      <c r="D7" s="421"/>
      <c r="E7" s="424" t="s">
        <v>2688</v>
      </c>
      <c r="F7" s="425" t="s">
        <v>2689</v>
      </c>
      <c r="G7" s="419"/>
      <c r="H7" s="425" t="s">
        <v>2690</v>
      </c>
      <c r="I7" s="419"/>
      <c r="J7" s="425" t="s">
        <v>2691</v>
      </c>
      <c r="K7" s="419"/>
      <c r="L7" s="425" t="s">
        <v>2692</v>
      </c>
      <c r="M7" s="419"/>
      <c r="N7" s="424" t="s">
        <v>2693</v>
      </c>
    </row>
    <row r="8" spans="2:14" ht="18" customHeight="1" thickBot="1">
      <c r="B8" s="427"/>
      <c r="C8" s="428" t="s">
        <v>2584</v>
      </c>
      <c r="D8" s="428" t="s">
        <v>2585</v>
      </c>
      <c r="E8" s="428"/>
      <c r="F8" s="429" t="s">
        <v>2586</v>
      </c>
      <c r="G8" s="429" t="s">
        <v>2694</v>
      </c>
      <c r="H8" s="429" t="s">
        <v>2586</v>
      </c>
      <c r="I8" s="429" t="s">
        <v>2695</v>
      </c>
      <c r="J8" s="429" t="s">
        <v>2586</v>
      </c>
      <c r="K8" s="429" t="s">
        <v>2695</v>
      </c>
      <c r="L8" s="429" t="s">
        <v>2586</v>
      </c>
      <c r="M8" s="429" t="s">
        <v>2695</v>
      </c>
      <c r="N8" s="428" t="s">
        <v>2696</v>
      </c>
    </row>
    <row r="9" spans="2:14" ht="18" customHeight="1">
      <c r="B9" s="446" t="s">
        <v>2641</v>
      </c>
      <c r="C9" s="561">
        <v>12620</v>
      </c>
      <c r="D9" s="561">
        <v>12620</v>
      </c>
      <c r="E9" s="561">
        <f>6791.2-89-141.6</f>
        <v>6560.599999999999</v>
      </c>
      <c r="F9" s="561">
        <v>0</v>
      </c>
      <c r="G9" s="493">
        <f aca="true" t="shared" si="0" ref="G9:G15">F9*100/E9</f>
        <v>0</v>
      </c>
      <c r="H9" s="562">
        <f>555.72-F9</f>
        <v>555.72</v>
      </c>
      <c r="I9" s="563">
        <f aca="true" t="shared" si="1" ref="I9:I15">H9*100/E9</f>
        <v>8.470566716458862</v>
      </c>
      <c r="J9" s="561">
        <f>3413.4-F9-H9</f>
        <v>2857.6800000000003</v>
      </c>
      <c r="K9" s="503">
        <f aca="true" t="shared" si="2" ref="K9:K15">J9*100/E9</f>
        <v>43.55821113922507</v>
      </c>
      <c r="L9" s="564">
        <f aca="true" t="shared" si="3" ref="L9:L15">E9-F9-H9-J9</f>
        <v>3147.199999999999</v>
      </c>
      <c r="M9" s="503">
        <f aca="true" t="shared" si="4" ref="M9:M15">L9*100/E9</f>
        <v>47.97122214431605</v>
      </c>
      <c r="N9" s="563">
        <f aca="true" t="shared" si="5" ref="N9:N16">E9*100/D9</f>
        <v>51.985736925515056</v>
      </c>
    </row>
    <row r="10" spans="2:14" ht="18" customHeight="1">
      <c r="B10" s="446" t="s">
        <v>2697</v>
      </c>
      <c r="C10" s="564">
        <v>1416</v>
      </c>
      <c r="D10" s="564">
        <v>1951</v>
      </c>
      <c r="E10" s="564">
        <f>1674</f>
        <v>1674</v>
      </c>
      <c r="F10" s="564">
        <v>0</v>
      </c>
      <c r="G10" s="493">
        <f t="shared" si="0"/>
        <v>0</v>
      </c>
      <c r="H10" s="565">
        <f>49-F10</f>
        <v>49</v>
      </c>
      <c r="I10" s="493">
        <f t="shared" si="1"/>
        <v>2.927120669056153</v>
      </c>
      <c r="J10" s="564">
        <f>909-F10-H10</f>
        <v>860</v>
      </c>
      <c r="K10" s="493">
        <f t="shared" si="2"/>
        <v>51.37395459976105</v>
      </c>
      <c r="L10" s="564">
        <f t="shared" si="3"/>
        <v>765</v>
      </c>
      <c r="M10" s="493">
        <f t="shared" si="4"/>
        <v>45.69892473118279</v>
      </c>
      <c r="N10" s="493">
        <f t="shared" si="5"/>
        <v>85.8021527421835</v>
      </c>
    </row>
    <row r="11" spans="2:14" ht="18" customHeight="1">
      <c r="B11" s="446" t="s">
        <v>2732</v>
      </c>
      <c r="C11" s="564">
        <v>3564</v>
      </c>
      <c r="D11" s="564">
        <v>3729</v>
      </c>
      <c r="E11" s="564">
        <f>9589.87</f>
        <v>9589.87</v>
      </c>
      <c r="F11" s="564">
        <v>189</v>
      </c>
      <c r="G11" s="493">
        <f t="shared" si="0"/>
        <v>1.9708296358553348</v>
      </c>
      <c r="H11" s="565">
        <f>711-F11</f>
        <v>522</v>
      </c>
      <c r="I11" s="493">
        <f t="shared" si="1"/>
        <v>5.443243756171877</v>
      </c>
      <c r="J11" s="564">
        <f>1334-F11-H11</f>
        <v>623</v>
      </c>
      <c r="K11" s="493">
        <f t="shared" si="2"/>
        <v>6.496438429300918</v>
      </c>
      <c r="L11" s="564">
        <f t="shared" si="3"/>
        <v>8255.87</v>
      </c>
      <c r="M11" s="493">
        <f t="shared" si="4"/>
        <v>86.08948817867187</v>
      </c>
      <c r="N11" s="493">
        <f t="shared" si="5"/>
        <v>257.1700187717887</v>
      </c>
    </row>
    <row r="12" spans="2:14" ht="18" customHeight="1">
      <c r="B12" s="446" t="s">
        <v>2593</v>
      </c>
      <c r="C12" s="566">
        <v>700</v>
      </c>
      <c r="D12" s="566">
        <v>700</v>
      </c>
      <c r="E12" s="566">
        <f>1875.39-62.69</f>
        <v>1812.7</v>
      </c>
      <c r="F12" s="566">
        <v>0</v>
      </c>
      <c r="G12" s="567">
        <f t="shared" si="0"/>
        <v>0</v>
      </c>
      <c r="H12" s="568">
        <f>500.47-F12</f>
        <v>500.47</v>
      </c>
      <c r="I12" s="567">
        <f t="shared" si="1"/>
        <v>27.609091410602968</v>
      </c>
      <c r="J12" s="566">
        <f>1206.58-F12-H12</f>
        <v>706.1099999999999</v>
      </c>
      <c r="K12" s="567">
        <f t="shared" si="2"/>
        <v>38.95349478678214</v>
      </c>
      <c r="L12" s="564">
        <f t="shared" si="3"/>
        <v>606.1200000000001</v>
      </c>
      <c r="M12" s="567">
        <f t="shared" si="4"/>
        <v>33.43741380261489</v>
      </c>
      <c r="N12" s="567">
        <f t="shared" si="5"/>
        <v>258.95714285714286</v>
      </c>
    </row>
    <row r="13" spans="2:14" ht="18" customHeight="1">
      <c r="B13" s="446" t="s">
        <v>2647</v>
      </c>
      <c r="C13" s="566">
        <v>300</v>
      </c>
      <c r="D13" s="566">
        <v>841</v>
      </c>
      <c r="E13" s="566">
        <v>97</v>
      </c>
      <c r="F13" s="566">
        <v>1.5</v>
      </c>
      <c r="G13" s="567">
        <f t="shared" si="0"/>
        <v>1.5463917525773196</v>
      </c>
      <c r="H13" s="568">
        <f>1.5-F13</f>
        <v>0</v>
      </c>
      <c r="I13" s="567">
        <f t="shared" si="1"/>
        <v>0</v>
      </c>
      <c r="J13" s="566">
        <f>29.83-F13-H13</f>
        <v>28.33</v>
      </c>
      <c r="K13" s="567">
        <f t="shared" si="2"/>
        <v>29.20618556701031</v>
      </c>
      <c r="L13" s="564">
        <f t="shared" si="3"/>
        <v>67.17</v>
      </c>
      <c r="M13" s="567">
        <f t="shared" si="4"/>
        <v>69.24742268041237</v>
      </c>
      <c r="N13" s="567">
        <f t="shared" si="5"/>
        <v>11.533888228299643</v>
      </c>
    </row>
    <row r="14" spans="2:14" ht="18" customHeight="1">
      <c r="B14" s="454" t="s">
        <v>2651</v>
      </c>
      <c r="C14" s="564"/>
      <c r="D14" s="564"/>
      <c r="E14" s="564">
        <v>132</v>
      </c>
      <c r="F14" s="564">
        <v>0</v>
      </c>
      <c r="G14" s="567">
        <f t="shared" si="0"/>
        <v>0</v>
      </c>
      <c r="H14" s="524">
        <f>0.53-F14</f>
        <v>0.53</v>
      </c>
      <c r="I14" s="567">
        <f t="shared" si="1"/>
        <v>0.4015151515151515</v>
      </c>
      <c r="J14" s="564">
        <f>5.051-F14-H14</f>
        <v>4.521</v>
      </c>
      <c r="K14" s="567">
        <f t="shared" si="2"/>
        <v>3.425</v>
      </c>
      <c r="L14" s="564">
        <f t="shared" si="3"/>
        <v>126.949</v>
      </c>
      <c r="M14" s="567">
        <f t="shared" si="4"/>
        <v>96.17348484848485</v>
      </c>
      <c r="N14" s="567" t="e">
        <f t="shared" si="5"/>
        <v>#DIV/0!</v>
      </c>
    </row>
    <row r="15" spans="2:14" ht="18" customHeight="1" thickBot="1">
      <c r="B15" s="469" t="s">
        <v>2712</v>
      </c>
      <c r="C15" s="569"/>
      <c r="D15" s="569"/>
      <c r="E15" s="569">
        <v>40</v>
      </c>
      <c r="F15" s="569">
        <v>0</v>
      </c>
      <c r="G15" s="567">
        <f t="shared" si="0"/>
        <v>0</v>
      </c>
      <c r="H15" s="570">
        <f>0-F15</f>
        <v>0</v>
      </c>
      <c r="I15" s="567">
        <f t="shared" si="1"/>
        <v>0</v>
      </c>
      <c r="J15" s="569">
        <f>0-F15-H15</f>
        <v>0</v>
      </c>
      <c r="K15" s="567">
        <f t="shared" si="2"/>
        <v>0</v>
      </c>
      <c r="L15" s="564">
        <f t="shared" si="3"/>
        <v>40</v>
      </c>
      <c r="M15" s="567">
        <f t="shared" si="4"/>
        <v>100</v>
      </c>
      <c r="N15" s="567" t="e">
        <f t="shared" si="5"/>
        <v>#DIV/0!</v>
      </c>
    </row>
    <row r="16" spans="2:14" ht="18" customHeight="1" thickBot="1">
      <c r="B16" s="499" t="s">
        <v>2666</v>
      </c>
      <c r="C16" s="571" t="e">
        <f>#REF!+#REF!</f>
        <v>#REF!</v>
      </c>
      <c r="D16" s="572" t="e">
        <f>#REF!+#REF!</f>
        <v>#REF!</v>
      </c>
      <c r="E16" s="572">
        <f>SUM(E9:E15)</f>
        <v>19906.170000000002</v>
      </c>
      <c r="F16" s="572">
        <f>SUM(F9:F15)</f>
        <v>190.5</v>
      </c>
      <c r="G16" s="534">
        <f>F16*100/E16</f>
        <v>0.9569897172585182</v>
      </c>
      <c r="H16" s="573">
        <f>SUM(H9:H15)</f>
        <v>1627.72</v>
      </c>
      <c r="I16" s="534">
        <f>H16*100/E16</f>
        <v>8.176962218246905</v>
      </c>
      <c r="J16" s="572">
        <f>SUM(J9:J15)</f>
        <v>5079.641</v>
      </c>
      <c r="K16" s="534">
        <f>J16*100/E16</f>
        <v>25.5179223326235</v>
      </c>
      <c r="L16" s="572">
        <f>SUM(L9:L15)</f>
        <v>13008.309000000001</v>
      </c>
      <c r="M16" s="534">
        <f>L16*100/E16</f>
        <v>65.34812573187108</v>
      </c>
      <c r="N16" s="567" t="e">
        <f t="shared" si="5"/>
        <v>#REF!</v>
      </c>
    </row>
    <row r="17" spans="2:14" ht="18" customHeight="1">
      <c r="B17" s="393"/>
      <c r="C17" s="393"/>
      <c r="D17" s="393"/>
      <c r="E17" s="393"/>
      <c r="F17" s="393"/>
      <c r="G17" s="395"/>
      <c r="H17" s="393"/>
      <c r="I17" s="395"/>
      <c r="J17" s="393"/>
      <c r="K17" s="395"/>
      <c r="L17" s="393"/>
      <c r="M17" s="395"/>
      <c r="N17" s="395"/>
    </row>
    <row r="18" spans="2:14" ht="18" customHeight="1">
      <c r="B18" s="170" t="s">
        <v>2717</v>
      </c>
      <c r="C18" s="393"/>
      <c r="D18" s="393"/>
      <c r="E18" s="393"/>
      <c r="F18" s="393"/>
      <c r="G18" s="395"/>
      <c r="H18" s="393"/>
      <c r="I18" s="395"/>
      <c r="J18" s="393"/>
      <c r="K18" s="395"/>
      <c r="L18" s="393"/>
      <c r="M18" s="395"/>
      <c r="N18" s="395"/>
    </row>
    <row r="19" spans="2:14" ht="18" customHeight="1">
      <c r="B19" s="574" t="s">
        <v>3805</v>
      </c>
      <c r="C19" s="393"/>
      <c r="D19" s="393"/>
      <c r="E19" s="393"/>
      <c r="F19" s="393"/>
      <c r="G19" s="395"/>
      <c r="H19" s="393"/>
      <c r="I19" s="395"/>
      <c r="J19" s="393"/>
      <c r="K19" s="395"/>
      <c r="L19" s="393"/>
      <c r="M19" s="395"/>
      <c r="N19" s="395"/>
    </row>
    <row r="20" spans="2:14" ht="18" customHeight="1">
      <c r="B20" t="s">
        <v>2720</v>
      </c>
      <c r="C20" s="393"/>
      <c r="D20" s="393"/>
      <c r="E20" s="393"/>
      <c r="F20" s="393"/>
      <c r="G20" s="395"/>
      <c r="H20" s="393"/>
      <c r="I20" s="395"/>
      <c r="J20" s="393"/>
      <c r="K20" s="395"/>
      <c r="L20" s="393"/>
      <c r="M20" s="395"/>
      <c r="N20" s="395"/>
    </row>
    <row r="21" spans="3:14" ht="18" customHeight="1">
      <c r="C21" s="393"/>
      <c r="D21" s="393"/>
      <c r="E21" s="393"/>
      <c r="F21" s="393"/>
      <c r="G21" s="395"/>
      <c r="H21" s="393"/>
      <c r="I21" s="395"/>
      <c r="J21" s="393"/>
      <c r="K21" s="395"/>
      <c r="L21" s="393"/>
      <c r="M21" s="395"/>
      <c r="N21" s="395"/>
    </row>
    <row r="22" spans="2:14" ht="18" customHeight="1">
      <c r="B22" s="416" t="s">
        <v>2731</v>
      </c>
      <c r="C22" s="393"/>
      <c r="D22" s="393"/>
      <c r="E22" s="393"/>
      <c r="F22" s="393"/>
      <c r="G22" s="395"/>
      <c r="H22" s="393"/>
      <c r="I22" s="395"/>
      <c r="J22" s="393"/>
      <c r="K22" s="395"/>
      <c r="L22" s="393"/>
      <c r="M22" s="395"/>
      <c r="N22" s="395"/>
    </row>
    <row r="23" spans="2:14" ht="18" customHeight="1">
      <c r="B23" s="393"/>
      <c r="C23" s="393"/>
      <c r="D23" s="393"/>
      <c r="E23" s="393"/>
      <c r="F23" s="393"/>
      <c r="G23" s="395"/>
      <c r="H23" s="393"/>
      <c r="I23" s="395"/>
      <c r="J23" s="393"/>
      <c r="K23" s="395"/>
      <c r="L23" s="393"/>
      <c r="M23" s="395"/>
      <c r="N23" s="395"/>
    </row>
    <row r="25" spans="2:13" ht="15">
      <c r="B25" t="s">
        <v>3746</v>
      </c>
      <c r="H25" s="144" t="s">
        <v>3602</v>
      </c>
      <c r="L25" s="1952" t="s">
        <v>3510</v>
      </c>
      <c r="M25" s="1952"/>
    </row>
  </sheetData>
  <mergeCells count="3">
    <mergeCell ref="B3:M3"/>
    <mergeCell ref="L1:M1"/>
    <mergeCell ref="L25:M2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&amp;C&amp;12&amp;P+144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D1">
      <selection activeCell="J53" sqref="J53"/>
    </sheetView>
  </sheetViews>
  <sheetFormatPr defaultColWidth="9.00390625" defaultRowHeight="12.75"/>
  <cols>
    <col min="1" max="1" width="33.00390625" style="0" customWidth="1"/>
    <col min="2" max="2" width="10.00390625" style="0" customWidth="1"/>
    <col min="3" max="3" width="9.625" style="0" customWidth="1"/>
    <col min="4" max="4" width="10.375" style="0" customWidth="1"/>
    <col min="5" max="6" width="9.625" style="0" customWidth="1"/>
    <col min="7" max="7" width="10.125" style="0" customWidth="1"/>
    <col min="8" max="8" width="10.375" style="0" customWidth="1"/>
    <col min="9" max="9" width="9.625" style="0" customWidth="1"/>
    <col min="10" max="10" width="10.375" style="0" customWidth="1"/>
    <col min="11" max="13" width="9.875" style="0" customWidth="1"/>
    <col min="14" max="14" width="11.125" style="0" customWidth="1"/>
  </cols>
  <sheetData>
    <row r="1" spans="1:14" ht="13.5">
      <c r="A1" s="1682" t="s">
        <v>3513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853" t="s">
        <v>3736</v>
      </c>
      <c r="N1" s="1853"/>
    </row>
    <row r="2" spans="1:14" ht="12.75">
      <c r="A2" s="1888" t="s">
        <v>3662</v>
      </c>
      <c r="B2" s="1888"/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888"/>
      <c r="N2" s="1888"/>
    </row>
    <row r="3" spans="1:14" ht="13.5" thickBot="1">
      <c r="A3" s="1787"/>
      <c r="B3" s="1787"/>
      <c r="C3" s="1787"/>
      <c r="D3" s="1787"/>
      <c r="E3" s="1787"/>
      <c r="F3" s="1787"/>
      <c r="G3" s="1787"/>
      <c r="H3" s="1787"/>
      <c r="I3" s="1787"/>
      <c r="J3" s="1787"/>
      <c r="K3" s="1787"/>
      <c r="L3" s="1787"/>
      <c r="M3" s="1787"/>
      <c r="N3" s="1787"/>
    </row>
    <row r="4" spans="1:14" ht="21" thickBot="1">
      <c r="A4" s="1418" t="s">
        <v>3663</v>
      </c>
      <c r="B4" s="1788" t="s">
        <v>3664</v>
      </c>
      <c r="C4" s="1788" t="s">
        <v>3665</v>
      </c>
      <c r="D4" s="1788" t="s">
        <v>3666</v>
      </c>
      <c r="E4" s="1788" t="s">
        <v>3667</v>
      </c>
      <c r="F4" s="1788" t="s">
        <v>3668</v>
      </c>
      <c r="G4" s="1788" t="s">
        <v>3669</v>
      </c>
      <c r="H4" s="1788" t="s">
        <v>3670</v>
      </c>
      <c r="I4" s="1788" t="s">
        <v>3671</v>
      </c>
      <c r="J4" s="1788" t="s">
        <v>3672</v>
      </c>
      <c r="K4" s="1788" t="s">
        <v>3673</v>
      </c>
      <c r="L4" s="1788" t="s">
        <v>3674</v>
      </c>
      <c r="M4" s="1788" t="s">
        <v>3675</v>
      </c>
      <c r="N4" s="1789" t="s">
        <v>3676</v>
      </c>
    </row>
    <row r="5" spans="1:14" ht="12.75">
      <c r="A5" s="1419"/>
      <c r="B5" s="1790"/>
      <c r="C5" s="1790"/>
      <c r="D5" s="1790"/>
      <c r="E5" s="1790"/>
      <c r="F5" s="1790"/>
      <c r="G5" s="1790"/>
      <c r="H5" s="1790"/>
      <c r="I5" s="1790"/>
      <c r="J5" s="1790"/>
      <c r="K5" s="1790"/>
      <c r="L5" s="1791"/>
      <c r="M5" s="1792"/>
      <c r="N5" s="1793"/>
    </row>
    <row r="6" spans="1:14" ht="12.75">
      <c r="A6" s="1794" t="s">
        <v>3677</v>
      </c>
      <c r="B6" s="1795">
        <v>2184630</v>
      </c>
      <c r="C6" s="1795">
        <v>2599678</v>
      </c>
      <c r="D6" s="1795">
        <v>3381679</v>
      </c>
      <c r="E6" s="1795">
        <v>3676044</v>
      </c>
      <c r="F6" s="1795">
        <v>3849359</v>
      </c>
      <c r="G6" s="1795">
        <v>3540245</v>
      </c>
      <c r="H6" s="1795">
        <v>3722534</v>
      </c>
      <c r="I6" s="1795">
        <v>3811742</v>
      </c>
      <c r="J6" s="1795">
        <v>4880203</v>
      </c>
      <c r="K6" s="1795">
        <v>5766027</v>
      </c>
      <c r="L6" s="1795">
        <v>6420538</v>
      </c>
      <c r="M6" s="1795">
        <v>6945471</v>
      </c>
      <c r="N6" s="1796">
        <v>7744555</v>
      </c>
    </row>
    <row r="7" spans="1:14" ht="12.75">
      <c r="A7" s="1797" t="s">
        <v>3678</v>
      </c>
      <c r="B7" s="1798">
        <v>1861383</v>
      </c>
      <c r="C7" s="1798">
        <v>2270532</v>
      </c>
      <c r="D7" s="1798">
        <v>2826957</v>
      </c>
      <c r="E7" s="1798">
        <v>3119388</v>
      </c>
      <c r="F7" s="1798">
        <v>3006009</v>
      </c>
      <c r="G7" s="1798">
        <v>3104569</v>
      </c>
      <c r="H7" s="1798">
        <v>3398643</v>
      </c>
      <c r="I7" s="1798">
        <v>3485784</v>
      </c>
      <c r="J7" s="1798">
        <v>4417989</v>
      </c>
      <c r="K7" s="1798">
        <v>4960978</v>
      </c>
      <c r="L7" s="1798">
        <v>5454470</v>
      </c>
      <c r="M7" s="1798">
        <v>5713826</v>
      </c>
      <c r="N7" s="1799">
        <v>7466555</v>
      </c>
    </row>
    <row r="8" spans="1:14" ht="12.75">
      <c r="A8" s="1797" t="s">
        <v>3679</v>
      </c>
      <c r="B8" s="1798"/>
      <c r="C8" s="1798"/>
      <c r="D8" s="1798"/>
      <c r="E8" s="1798"/>
      <c r="F8" s="1798">
        <v>2299176</v>
      </c>
      <c r="G8" s="1798">
        <v>2374086</v>
      </c>
      <c r="H8" s="1798">
        <v>2598970</v>
      </c>
      <c r="I8" s="1798">
        <v>2665607</v>
      </c>
      <c r="J8" s="1798">
        <v>3378372</v>
      </c>
      <c r="K8" s="1798">
        <v>3793638</v>
      </c>
      <c r="L8" s="1798">
        <v>4170967</v>
      </c>
      <c r="M8" s="1798">
        <v>4677966</v>
      </c>
      <c r="N8" s="1799">
        <v>6148928</v>
      </c>
    </row>
    <row r="9" spans="1:14" ht="12.75">
      <c r="A9" s="1797" t="s">
        <v>3680</v>
      </c>
      <c r="B9" s="1798">
        <v>323247</v>
      </c>
      <c r="C9" s="1798">
        <v>329146</v>
      </c>
      <c r="D9" s="1798">
        <v>554722</v>
      </c>
      <c r="E9" s="1798">
        <v>556656</v>
      </c>
      <c r="F9" s="1798">
        <v>843350</v>
      </c>
      <c r="G9" s="1798">
        <v>435676</v>
      </c>
      <c r="H9" s="1798">
        <v>323891</v>
      </c>
      <c r="I9" s="1798">
        <v>325958</v>
      </c>
      <c r="J9" s="1798">
        <v>462214</v>
      </c>
      <c r="K9" s="1798">
        <v>805049</v>
      </c>
      <c r="L9" s="1798">
        <v>966068</v>
      </c>
      <c r="M9" s="1798">
        <v>1231645</v>
      </c>
      <c r="N9" s="1799">
        <v>278000</v>
      </c>
    </row>
    <row r="10" spans="1:14" ht="12.75">
      <c r="A10" s="1797"/>
      <c r="B10" s="1800"/>
      <c r="C10" s="1800"/>
      <c r="D10" s="1800"/>
      <c r="E10" s="1800"/>
      <c r="F10" s="1800"/>
      <c r="G10" s="1800"/>
      <c r="H10" s="1800"/>
      <c r="I10" s="1800"/>
      <c r="J10" s="1800"/>
      <c r="K10" s="1800"/>
      <c r="L10" s="1800"/>
      <c r="M10" s="1801"/>
      <c r="N10" s="1799"/>
    </row>
    <row r="11" spans="1:14" ht="12.75">
      <c r="A11" s="1794" t="s">
        <v>3681</v>
      </c>
      <c r="B11" s="1795">
        <v>16540704</v>
      </c>
      <c r="C11" s="1795">
        <v>19962546</v>
      </c>
      <c r="D11" s="1795">
        <v>22262993</v>
      </c>
      <c r="E11" s="1795">
        <v>26614103</v>
      </c>
      <c r="F11" s="1795">
        <v>26285720</v>
      </c>
      <c r="G11" s="1795">
        <v>27161846</v>
      </c>
      <c r="H11" s="1795">
        <v>28965733</v>
      </c>
      <c r="I11" s="1795">
        <v>32702908</v>
      </c>
      <c r="J11" s="1795">
        <v>36903150</v>
      </c>
      <c r="K11" s="1795">
        <v>40969999</v>
      </c>
      <c r="L11" s="1795">
        <v>45006355</v>
      </c>
      <c r="M11" s="1795">
        <v>47669199</v>
      </c>
      <c r="N11" s="1796">
        <v>51872067</v>
      </c>
    </row>
    <row r="12" spans="1:14" ht="12.75">
      <c r="A12" s="1794" t="s">
        <v>3682</v>
      </c>
      <c r="B12" s="1795">
        <v>893335</v>
      </c>
      <c r="C12" s="1795">
        <v>1369069</v>
      </c>
      <c r="D12" s="1795">
        <v>2463595</v>
      </c>
      <c r="E12" s="1795">
        <v>3655657</v>
      </c>
      <c r="F12" s="1795">
        <v>3160778</v>
      </c>
      <c r="G12" s="1795">
        <v>3114618</v>
      </c>
      <c r="H12" s="1795">
        <v>2880670</v>
      </c>
      <c r="I12" s="1795">
        <v>5350844</v>
      </c>
      <c r="J12" s="1795">
        <v>2939061</v>
      </c>
      <c r="K12" s="1795">
        <v>3523235</v>
      </c>
      <c r="L12" s="1795">
        <v>3709460</v>
      </c>
      <c r="M12" s="1795">
        <v>3999177</v>
      </c>
      <c r="N12" s="1796">
        <v>5328159</v>
      </c>
    </row>
    <row r="13" spans="1:14" s="1420" customFormat="1" ht="9.75">
      <c r="A13" s="1794" t="s">
        <v>3683</v>
      </c>
      <c r="B13" s="1795"/>
      <c r="C13" s="1795"/>
      <c r="D13" s="1795"/>
      <c r="E13" s="1795">
        <v>24802</v>
      </c>
      <c r="F13" s="1795">
        <v>18148</v>
      </c>
      <c r="G13" s="1795">
        <v>17940</v>
      </c>
      <c r="H13" s="1795">
        <v>10040</v>
      </c>
      <c r="I13" s="1795">
        <v>18795</v>
      </c>
      <c r="J13" s="1795">
        <v>21217</v>
      </c>
      <c r="K13" s="1795">
        <v>19819</v>
      </c>
      <c r="L13" s="1795">
        <v>19679</v>
      </c>
      <c r="M13" s="1795">
        <v>19728</v>
      </c>
      <c r="N13" s="1796">
        <v>70963</v>
      </c>
    </row>
    <row r="14" spans="1:14" ht="12.75">
      <c r="A14" s="1794" t="s">
        <v>3684</v>
      </c>
      <c r="B14" s="1795">
        <f>B11-B12</f>
        <v>15647369</v>
      </c>
      <c r="C14" s="1795">
        <f>C11-C12</f>
        <v>18593477</v>
      </c>
      <c r="D14" s="1795">
        <f>D11-D12</f>
        <v>19799398</v>
      </c>
      <c r="E14" s="1795">
        <f aca="true" t="shared" si="0" ref="E14:K14">E11-(E12+E13)</f>
        <v>22933644</v>
      </c>
      <c r="F14" s="1795">
        <f t="shared" si="0"/>
        <v>23106794</v>
      </c>
      <c r="G14" s="1795">
        <f t="shared" si="0"/>
        <v>24029288</v>
      </c>
      <c r="H14" s="1795">
        <f t="shared" si="0"/>
        <v>26075023</v>
      </c>
      <c r="I14" s="1795">
        <f t="shared" si="0"/>
        <v>27333269</v>
      </c>
      <c r="J14" s="1795">
        <f t="shared" si="0"/>
        <v>33942872</v>
      </c>
      <c r="K14" s="1795">
        <f t="shared" si="0"/>
        <v>37426945</v>
      </c>
      <c r="L14" s="1795">
        <f>L11-(L12+L13)-884129</f>
        <v>40393087</v>
      </c>
      <c r="M14" s="1795">
        <f>M11-(M12+M13)</f>
        <v>43650294</v>
      </c>
      <c r="N14" s="1796">
        <f>N11-(N12+N13)</f>
        <v>46472945</v>
      </c>
    </row>
    <row r="15" spans="1:14" ht="12.75">
      <c r="A15" s="1797" t="s">
        <v>3222</v>
      </c>
      <c r="B15" s="1798"/>
      <c r="C15" s="1798"/>
      <c r="D15" s="1798"/>
      <c r="E15" s="1798"/>
      <c r="F15" s="1800"/>
      <c r="G15" s="1800"/>
      <c r="H15" s="1800"/>
      <c r="I15" s="1800"/>
      <c r="J15" s="1800"/>
      <c r="K15" s="1800"/>
      <c r="L15" s="1800"/>
      <c r="M15" s="1801"/>
      <c r="N15" s="1799"/>
    </row>
    <row r="16" spans="1:14" ht="12.75">
      <c r="A16" s="1797" t="s">
        <v>3685</v>
      </c>
      <c r="B16" s="1798">
        <v>6171043</v>
      </c>
      <c r="C16" s="1798">
        <v>7872043</v>
      </c>
      <c r="D16" s="1798">
        <v>10072856</v>
      </c>
      <c r="E16" s="1798">
        <v>10907304</v>
      </c>
      <c r="F16" s="1798">
        <v>11747617</v>
      </c>
      <c r="G16" s="1798">
        <v>11647992</v>
      </c>
      <c r="H16" s="1798">
        <v>12903293</v>
      </c>
      <c r="I16" s="1798">
        <v>13152476</v>
      </c>
      <c r="J16" s="1798">
        <v>16478311</v>
      </c>
      <c r="K16" s="1798">
        <v>18375403</v>
      </c>
      <c r="L16" s="1798">
        <f>20127308-884</f>
        <v>20126424</v>
      </c>
      <c r="M16" s="1798">
        <v>21240215</v>
      </c>
      <c r="N16" s="1799">
        <v>25562720</v>
      </c>
    </row>
    <row r="17" spans="1:14" ht="12.75">
      <c r="A17" s="1797" t="s">
        <v>3686</v>
      </c>
      <c r="B17" s="1798">
        <v>2074597</v>
      </c>
      <c r="C17" s="1798">
        <v>2672123</v>
      </c>
      <c r="D17" s="1798">
        <v>3255184</v>
      </c>
      <c r="E17" s="1798">
        <v>4218593</v>
      </c>
      <c r="F17" s="1798">
        <v>4077869</v>
      </c>
      <c r="G17" s="1798">
        <v>4168996</v>
      </c>
      <c r="H17" s="1798">
        <v>4682757</v>
      </c>
      <c r="I17" s="1798">
        <v>4762695</v>
      </c>
      <c r="J17" s="1798">
        <v>5971350</v>
      </c>
      <c r="K17" s="1798">
        <v>6650119</v>
      </c>
      <c r="L17" s="1798">
        <v>7294162</v>
      </c>
      <c r="M17" s="1798">
        <v>7724405</v>
      </c>
      <c r="N17" s="1799">
        <v>9298123</v>
      </c>
    </row>
    <row r="18" spans="1:14" ht="12.75">
      <c r="A18" s="1797" t="s">
        <v>3687</v>
      </c>
      <c r="B18" s="1798">
        <v>1523017</v>
      </c>
      <c r="C18" s="1798">
        <v>1682398</v>
      </c>
      <c r="D18" s="1798">
        <v>1981775</v>
      </c>
      <c r="E18" s="1798">
        <v>2220806</v>
      </c>
      <c r="F18" s="1798">
        <v>2451248</v>
      </c>
      <c r="G18" s="1798">
        <v>2760686</v>
      </c>
      <c r="H18" s="1798">
        <v>3062731</v>
      </c>
      <c r="I18" s="1798">
        <v>3205198</v>
      </c>
      <c r="J18" s="1798">
        <v>3518349</v>
      </c>
      <c r="K18" s="1798">
        <v>3827208</v>
      </c>
      <c r="L18" s="1798">
        <v>3949884</v>
      </c>
      <c r="M18" s="1798">
        <v>4112755</v>
      </c>
      <c r="N18" s="1799">
        <v>5340814</v>
      </c>
    </row>
    <row r="19" spans="1:14" ht="12.75">
      <c r="A19" s="1797" t="s">
        <v>3688</v>
      </c>
      <c r="B19" s="1798">
        <v>1395251</v>
      </c>
      <c r="C19" s="1798">
        <v>55957</v>
      </c>
      <c r="D19" s="1798">
        <v>85103</v>
      </c>
      <c r="E19" s="1798">
        <v>122713</v>
      </c>
      <c r="F19" s="1798">
        <v>111525</v>
      </c>
      <c r="G19" s="1798">
        <v>159435</v>
      </c>
      <c r="H19" s="1798">
        <v>281209</v>
      </c>
      <c r="I19" s="1798">
        <v>379624</v>
      </c>
      <c r="J19" s="1798">
        <v>492871</v>
      </c>
      <c r="K19" s="1798">
        <v>521497</v>
      </c>
      <c r="L19" s="1798">
        <v>575133</v>
      </c>
      <c r="M19" s="1798">
        <v>619167</v>
      </c>
      <c r="N19" s="1799">
        <v>529650</v>
      </c>
    </row>
    <row r="20" spans="1:14" ht="12.75">
      <c r="A20" s="1797" t="s">
        <v>3689</v>
      </c>
      <c r="B20" s="1798">
        <v>39000</v>
      </c>
      <c r="C20" s="1798">
        <v>63500</v>
      </c>
      <c r="D20" s="1798">
        <v>71711</v>
      </c>
      <c r="E20" s="1798">
        <v>65868</v>
      </c>
      <c r="F20" s="1798">
        <v>60300</v>
      </c>
      <c r="G20" s="1798">
        <v>54543</v>
      </c>
      <c r="H20" s="1798">
        <v>39211</v>
      </c>
      <c r="I20" s="1798">
        <v>30050</v>
      </c>
      <c r="J20" s="1798">
        <v>33030</v>
      </c>
      <c r="K20" s="1798">
        <v>33943</v>
      </c>
      <c r="L20" s="1798">
        <v>36454</v>
      </c>
      <c r="M20" s="1798">
        <v>42572</v>
      </c>
      <c r="N20" s="1799">
        <v>46981</v>
      </c>
    </row>
    <row r="21" spans="1:14" ht="12.75">
      <c r="A21" s="1797" t="s">
        <v>3690</v>
      </c>
      <c r="B21" s="1798">
        <f aca="true" t="shared" si="1" ref="B21:N21">B14-(B16+B17+B18+B19+B20)</f>
        <v>4444461</v>
      </c>
      <c r="C21" s="1798">
        <f t="shared" si="1"/>
        <v>6247456</v>
      </c>
      <c r="D21" s="1798">
        <f t="shared" si="1"/>
        <v>4332769</v>
      </c>
      <c r="E21" s="1798">
        <f t="shared" si="1"/>
        <v>5398360</v>
      </c>
      <c r="F21" s="1798">
        <f t="shared" si="1"/>
        <v>4658235</v>
      </c>
      <c r="G21" s="1798">
        <f t="shared" si="1"/>
        <v>5237636</v>
      </c>
      <c r="H21" s="1798">
        <f t="shared" si="1"/>
        <v>5105822</v>
      </c>
      <c r="I21" s="1798">
        <f t="shared" si="1"/>
        <v>5803226</v>
      </c>
      <c r="J21" s="1798">
        <f t="shared" si="1"/>
        <v>7448961</v>
      </c>
      <c r="K21" s="1798">
        <f t="shared" si="1"/>
        <v>8018775</v>
      </c>
      <c r="L21" s="1798">
        <f t="shared" si="1"/>
        <v>8411030</v>
      </c>
      <c r="M21" s="1802">
        <f t="shared" si="1"/>
        <v>9911180</v>
      </c>
      <c r="N21" s="1799">
        <f t="shared" si="1"/>
        <v>5694657</v>
      </c>
    </row>
    <row r="22" spans="1:14" ht="12.75">
      <c r="A22" s="1797"/>
      <c r="B22" s="1798"/>
      <c r="C22" s="1798"/>
      <c r="D22" s="1798"/>
      <c r="E22" s="1798"/>
      <c r="F22" s="1798"/>
      <c r="G22" s="1798"/>
      <c r="H22" s="1798"/>
      <c r="I22" s="1798"/>
      <c r="J22" s="1798"/>
      <c r="K22" s="1800"/>
      <c r="L22" s="1800"/>
      <c r="M22" s="1801"/>
      <c r="N22" s="1799"/>
    </row>
    <row r="23" spans="1:14" ht="12.75">
      <c r="A23" s="1794" t="s">
        <v>3691</v>
      </c>
      <c r="B23" s="1795">
        <v>56259</v>
      </c>
      <c r="C23" s="1795">
        <v>61856</v>
      </c>
      <c r="D23" s="1795">
        <v>59353</v>
      </c>
      <c r="E23" s="1795">
        <v>60542</v>
      </c>
      <c r="F23" s="1795">
        <v>61174</v>
      </c>
      <c r="G23" s="1795">
        <v>60689</v>
      </c>
      <c r="H23" s="1795">
        <v>61888</v>
      </c>
      <c r="I23" s="1795">
        <v>61879</v>
      </c>
      <c r="J23" s="1795">
        <v>70457</v>
      </c>
      <c r="K23" s="1795">
        <v>71818</v>
      </c>
      <c r="L23" s="1795">
        <v>74214</v>
      </c>
      <c r="M23" s="1795">
        <v>74400</v>
      </c>
      <c r="N23" s="1796">
        <v>75314</v>
      </c>
    </row>
    <row r="24" spans="1:14" ht="12.75">
      <c r="A24" s="1797" t="s">
        <v>3692</v>
      </c>
      <c r="B24" s="1798">
        <v>46779</v>
      </c>
      <c r="C24" s="1798">
        <v>51845</v>
      </c>
      <c r="D24" s="1798">
        <v>46748</v>
      </c>
      <c r="E24" s="1798">
        <v>47160</v>
      </c>
      <c r="F24" s="1798">
        <v>45056</v>
      </c>
      <c r="G24" s="1798">
        <v>44711</v>
      </c>
      <c r="H24" s="1798">
        <v>45094</v>
      </c>
      <c r="I24" s="1798">
        <v>45083</v>
      </c>
      <c r="J24" s="1798">
        <v>53660</v>
      </c>
      <c r="K24" s="1798">
        <v>54733</v>
      </c>
      <c r="L24" s="1798">
        <v>56453</v>
      </c>
      <c r="M24" s="1802">
        <v>57018</v>
      </c>
      <c r="N24" s="1799">
        <v>58004</v>
      </c>
    </row>
    <row r="25" spans="1:14" ht="12.75">
      <c r="A25" s="1797" t="s">
        <v>3693</v>
      </c>
      <c r="B25" s="1798">
        <v>9480</v>
      </c>
      <c r="C25" s="1798">
        <v>10011</v>
      </c>
      <c r="D25" s="1798">
        <v>12605</v>
      </c>
      <c r="E25" s="1798">
        <v>13382</v>
      </c>
      <c r="F25" s="1798">
        <v>16118</v>
      </c>
      <c r="G25" s="1798">
        <v>15978</v>
      </c>
      <c r="H25" s="1798">
        <v>16794</v>
      </c>
      <c r="I25" s="1798">
        <v>16796</v>
      </c>
      <c r="J25" s="1798">
        <v>16797</v>
      </c>
      <c r="K25" s="1798">
        <v>17085</v>
      </c>
      <c r="L25" s="1798">
        <v>17761</v>
      </c>
      <c r="M25" s="1802">
        <v>17382</v>
      </c>
      <c r="N25" s="1799">
        <v>17310</v>
      </c>
    </row>
    <row r="26" spans="1:14" ht="12.75">
      <c r="A26" s="1797"/>
      <c r="B26" s="1800"/>
      <c r="C26" s="1800"/>
      <c r="D26" s="1800"/>
      <c r="E26" s="1800"/>
      <c r="F26" s="1800"/>
      <c r="G26" s="1800"/>
      <c r="H26" s="1800"/>
      <c r="I26" s="1800"/>
      <c r="J26" s="1800"/>
      <c r="K26" s="1800"/>
      <c r="L26" s="1800"/>
      <c r="M26" s="1802"/>
      <c r="N26" s="1799"/>
    </row>
    <row r="27" spans="1:14" ht="12.75">
      <c r="A27" s="1794" t="s">
        <v>3694</v>
      </c>
      <c r="B27" s="1795">
        <v>8840</v>
      </c>
      <c r="C27" s="1795">
        <v>10234</v>
      </c>
      <c r="D27" s="1795">
        <v>13708</v>
      </c>
      <c r="E27" s="1795">
        <v>14895</v>
      </c>
      <c r="F27" s="1795">
        <v>15406</v>
      </c>
      <c r="G27" s="1795">
        <v>15058</v>
      </c>
      <c r="H27" s="1795">
        <v>17001</v>
      </c>
      <c r="I27" s="1795">
        <v>17309</v>
      </c>
      <c r="J27" s="1795">
        <v>19003</v>
      </c>
      <c r="K27" s="1795">
        <v>20760</v>
      </c>
      <c r="L27" s="1795">
        <v>22038</v>
      </c>
      <c r="M27" s="1795">
        <v>23278</v>
      </c>
      <c r="N27" s="1796">
        <v>28511</v>
      </c>
    </row>
    <row r="28" spans="1:14" ht="12.75">
      <c r="A28" s="1797" t="s">
        <v>3695</v>
      </c>
      <c r="B28" s="1798">
        <v>9777</v>
      </c>
      <c r="C28" s="1798">
        <v>12862</v>
      </c>
      <c r="D28" s="1798">
        <v>14367</v>
      </c>
      <c r="E28" s="1798">
        <v>16279</v>
      </c>
      <c r="F28" s="1798">
        <v>16415</v>
      </c>
      <c r="G28" s="1798">
        <v>16911</v>
      </c>
      <c r="H28" s="1798">
        <v>18576</v>
      </c>
      <c r="I28" s="1798">
        <v>18952</v>
      </c>
      <c r="J28" s="1798">
        <v>20604</v>
      </c>
      <c r="K28" s="1798">
        <v>22473</v>
      </c>
      <c r="L28" s="1798">
        <v>23765</v>
      </c>
      <c r="M28" s="1802">
        <v>24892</v>
      </c>
      <c r="N28" s="1799">
        <v>31550</v>
      </c>
    </row>
    <row r="29" spans="1:14" ht="12.75">
      <c r="A29" s="1797" t="s">
        <v>3696</v>
      </c>
      <c r="B29" s="1798">
        <v>6002</v>
      </c>
      <c r="C29" s="1798">
        <v>6796</v>
      </c>
      <c r="D29" s="1798">
        <v>9276</v>
      </c>
      <c r="E29" s="1798">
        <v>10021</v>
      </c>
      <c r="F29" s="1798">
        <v>10695</v>
      </c>
      <c r="G29" s="1798">
        <v>11129</v>
      </c>
      <c r="H29" s="1798">
        <v>12559</v>
      </c>
      <c r="I29" s="1798">
        <v>12900</v>
      </c>
      <c r="J29" s="1798">
        <v>13888</v>
      </c>
      <c r="K29" s="1798">
        <v>15270</v>
      </c>
      <c r="L29" s="1798">
        <v>16549</v>
      </c>
      <c r="M29" s="1802">
        <v>18026</v>
      </c>
      <c r="N29" s="1799">
        <v>18325</v>
      </c>
    </row>
    <row r="30" spans="1:14" ht="12.75">
      <c r="A30" s="1797"/>
      <c r="B30" s="1800"/>
      <c r="C30" s="1800"/>
      <c r="D30" s="1800"/>
      <c r="E30" s="1800"/>
      <c r="F30" s="1800"/>
      <c r="G30" s="1800"/>
      <c r="H30" s="1800"/>
      <c r="I30" s="1800"/>
      <c r="J30" s="1800"/>
      <c r="K30" s="1800"/>
      <c r="L30" s="1800"/>
      <c r="M30" s="1801"/>
      <c r="N30" s="1799"/>
    </row>
    <row r="31" spans="1:14" ht="12.75">
      <c r="A31" s="1794" t="s">
        <v>3697</v>
      </c>
      <c r="B31" s="1800"/>
      <c r="C31" s="1800"/>
      <c r="D31" s="1800"/>
      <c r="E31" s="1800"/>
      <c r="F31" s="1800"/>
      <c r="G31" s="1800"/>
      <c r="H31" s="1800"/>
      <c r="I31" s="1800"/>
      <c r="J31" s="1800"/>
      <c r="K31" s="1800"/>
      <c r="L31" s="1800"/>
      <c r="M31" s="1801"/>
      <c r="N31" s="1799"/>
    </row>
    <row r="32" spans="1:14" ht="12.75">
      <c r="A32" s="1797" t="s">
        <v>3698</v>
      </c>
      <c r="B32" s="1803">
        <f aca="true" t="shared" si="2" ref="B32:N32">(B16+B17+B18)*100/(B14-B19-B20)</f>
        <v>68.72986631082638</v>
      </c>
      <c r="C32" s="1803">
        <f t="shared" si="2"/>
        <v>66.1824767971454</v>
      </c>
      <c r="D32" s="1803">
        <f t="shared" si="2"/>
        <v>77.94196018202086</v>
      </c>
      <c r="E32" s="1803">
        <f t="shared" si="2"/>
        <v>76.26579447152993</v>
      </c>
      <c r="F32" s="1803">
        <f t="shared" si="2"/>
        <v>79.68937738699364</v>
      </c>
      <c r="G32" s="1803">
        <f t="shared" si="2"/>
        <v>78.00727347240074</v>
      </c>
      <c r="H32" s="1803">
        <f t="shared" si="2"/>
        <v>80.17510889218522</v>
      </c>
      <c r="I32" s="1803">
        <f t="shared" si="2"/>
        <v>78.4455753401431</v>
      </c>
      <c r="J32" s="1803">
        <f t="shared" si="2"/>
        <v>77.70904789665107</v>
      </c>
      <c r="K32" s="1803">
        <f t="shared" si="2"/>
        <v>78.25210823371599</v>
      </c>
      <c r="L32" s="1803">
        <f t="shared" si="2"/>
        <v>78.85693098550834</v>
      </c>
      <c r="M32" s="1803">
        <f t="shared" si="2"/>
        <v>76.94460769849091</v>
      </c>
      <c r="N32" s="1804">
        <f t="shared" si="2"/>
        <v>87.59234347228843</v>
      </c>
    </row>
    <row r="33" spans="1:14" ht="12.75">
      <c r="A33" s="1797" t="s">
        <v>3699</v>
      </c>
      <c r="B33" s="1803">
        <f aca="true" t="shared" si="3" ref="B33:N33">100-B32</f>
        <v>31.27013368917362</v>
      </c>
      <c r="C33" s="1803">
        <f t="shared" si="3"/>
        <v>33.8175232028546</v>
      </c>
      <c r="D33" s="1803">
        <f t="shared" si="3"/>
        <v>22.058039817979136</v>
      </c>
      <c r="E33" s="1803">
        <f t="shared" si="3"/>
        <v>23.73420552847007</v>
      </c>
      <c r="F33" s="1803">
        <f t="shared" si="3"/>
        <v>20.31062261300636</v>
      </c>
      <c r="G33" s="1803">
        <f t="shared" si="3"/>
        <v>21.99272652759926</v>
      </c>
      <c r="H33" s="1803">
        <f t="shared" si="3"/>
        <v>19.82489110781478</v>
      </c>
      <c r="I33" s="1803">
        <f t="shared" si="3"/>
        <v>21.554424659856906</v>
      </c>
      <c r="J33" s="1803">
        <f t="shared" si="3"/>
        <v>22.29095210334893</v>
      </c>
      <c r="K33" s="1803">
        <f t="shared" si="3"/>
        <v>21.747891766284013</v>
      </c>
      <c r="L33" s="1803">
        <f t="shared" si="3"/>
        <v>21.143069014491658</v>
      </c>
      <c r="M33" s="1803">
        <f t="shared" si="3"/>
        <v>23.055392301509087</v>
      </c>
      <c r="N33" s="1804">
        <f t="shared" si="3"/>
        <v>12.407656527711566</v>
      </c>
    </row>
    <row r="34" spans="1:14" ht="12.75">
      <c r="A34" s="1797" t="s">
        <v>3700</v>
      </c>
      <c r="B34" s="1803">
        <f aca="true" t="shared" si="4" ref="B34:N34">B21/B23</f>
        <v>79</v>
      </c>
      <c r="C34" s="1803">
        <f t="shared" si="4"/>
        <v>101</v>
      </c>
      <c r="D34" s="1803">
        <f t="shared" si="4"/>
        <v>73</v>
      </c>
      <c r="E34" s="1803">
        <f t="shared" si="4"/>
        <v>89.16718971953355</v>
      </c>
      <c r="F34" s="1803">
        <f t="shared" si="4"/>
        <v>76.14730114100762</v>
      </c>
      <c r="G34" s="1803">
        <f t="shared" si="4"/>
        <v>86.30288849709173</v>
      </c>
      <c r="H34" s="1803">
        <f t="shared" si="4"/>
        <v>82.50100180972079</v>
      </c>
      <c r="I34" s="1803">
        <f t="shared" si="4"/>
        <v>93.7834483427334</v>
      </c>
      <c r="J34" s="1803">
        <f t="shared" si="4"/>
        <v>105.72350511659594</v>
      </c>
      <c r="K34" s="1803">
        <f t="shared" si="4"/>
        <v>111.65411178256147</v>
      </c>
      <c r="L34" s="1803">
        <f t="shared" si="4"/>
        <v>113.3348155334573</v>
      </c>
      <c r="M34" s="1803">
        <f t="shared" si="4"/>
        <v>133.21478494623656</v>
      </c>
      <c r="N34" s="1805">
        <f t="shared" si="4"/>
        <v>75.61219693549673</v>
      </c>
    </row>
    <row r="35" spans="1:14" ht="12.75">
      <c r="A35" s="1797"/>
      <c r="B35" s="1803"/>
      <c r="C35" s="1803"/>
      <c r="D35" s="1803"/>
      <c r="E35" s="1803"/>
      <c r="F35" s="1803"/>
      <c r="G35" s="1803"/>
      <c r="H35" s="1803"/>
      <c r="I35" s="1803"/>
      <c r="J35" s="1803"/>
      <c r="K35" s="1803"/>
      <c r="L35" s="1803"/>
      <c r="M35" s="1803"/>
      <c r="N35" s="1805"/>
    </row>
    <row r="36" spans="1:14" ht="12.75">
      <c r="A36" s="1797" t="s">
        <v>3701</v>
      </c>
      <c r="B36" s="1798">
        <f aca="true" t="shared" si="5" ref="B36:N36">B12+B21</f>
        <v>5337796</v>
      </c>
      <c r="C36" s="1798">
        <f t="shared" si="5"/>
        <v>7616525</v>
      </c>
      <c r="D36" s="1798">
        <f t="shared" si="5"/>
        <v>6796364</v>
      </c>
      <c r="E36" s="1798">
        <f t="shared" si="5"/>
        <v>9054017</v>
      </c>
      <c r="F36" s="1798">
        <f t="shared" si="5"/>
        <v>7819013</v>
      </c>
      <c r="G36" s="1798">
        <f t="shared" si="5"/>
        <v>8352254</v>
      </c>
      <c r="H36" s="1798">
        <f t="shared" si="5"/>
        <v>7986492</v>
      </c>
      <c r="I36" s="1798">
        <f t="shared" si="5"/>
        <v>11154070</v>
      </c>
      <c r="J36" s="1798">
        <f t="shared" si="5"/>
        <v>10388022</v>
      </c>
      <c r="K36" s="1798">
        <f t="shared" si="5"/>
        <v>11542010</v>
      </c>
      <c r="L36" s="1798">
        <f t="shared" si="5"/>
        <v>12120490</v>
      </c>
      <c r="M36" s="1798">
        <f t="shared" si="5"/>
        <v>13910357</v>
      </c>
      <c r="N36" s="1806">
        <f t="shared" si="5"/>
        <v>11022816</v>
      </c>
    </row>
    <row r="37" spans="1:14" ht="12.75">
      <c r="A37" s="1797" t="s">
        <v>3702</v>
      </c>
      <c r="B37" s="1803">
        <f aca="true" t="shared" si="6" ref="B37:N37">B36/B23</f>
        <v>94.87897047583498</v>
      </c>
      <c r="C37" s="1803">
        <f t="shared" si="6"/>
        <v>123.13316412312467</v>
      </c>
      <c r="D37" s="1803">
        <f t="shared" si="6"/>
        <v>114.50750593904267</v>
      </c>
      <c r="E37" s="1803">
        <f t="shared" si="6"/>
        <v>149.5493541673549</v>
      </c>
      <c r="F37" s="1803">
        <f t="shared" si="6"/>
        <v>127.815951221107</v>
      </c>
      <c r="G37" s="1803">
        <f t="shared" si="6"/>
        <v>137.62385275750137</v>
      </c>
      <c r="H37" s="1803">
        <f t="shared" si="6"/>
        <v>129.0475051706308</v>
      </c>
      <c r="I37" s="1803">
        <f t="shared" si="6"/>
        <v>180.25614505728922</v>
      </c>
      <c r="J37" s="1803">
        <f t="shared" si="6"/>
        <v>147.43775636203642</v>
      </c>
      <c r="K37" s="1803">
        <f t="shared" si="6"/>
        <v>160.71193851123672</v>
      </c>
      <c r="L37" s="1803">
        <f t="shared" si="6"/>
        <v>163.31810709569623</v>
      </c>
      <c r="M37" s="1803">
        <f t="shared" si="6"/>
        <v>186.96716397849463</v>
      </c>
      <c r="N37" s="1804">
        <f t="shared" si="6"/>
        <v>146.358127307008</v>
      </c>
    </row>
    <row r="38" spans="1:14" ht="12.75">
      <c r="A38" s="1797"/>
      <c r="B38" s="1800"/>
      <c r="C38" s="1800"/>
      <c r="D38" s="1800"/>
      <c r="E38" s="1800"/>
      <c r="F38" s="1800"/>
      <c r="G38" s="1800"/>
      <c r="H38" s="1800"/>
      <c r="I38" s="1800"/>
      <c r="J38" s="1800"/>
      <c r="K38" s="1800"/>
      <c r="L38" s="1800"/>
      <c r="M38" s="1801"/>
      <c r="N38" s="1807"/>
    </row>
    <row r="39" spans="1:14" ht="12.75">
      <c r="A39" s="1797" t="s">
        <v>3808</v>
      </c>
      <c r="B39" s="1798"/>
      <c r="C39" s="1798"/>
      <c r="D39" s="1798">
        <v>1466681</v>
      </c>
      <c r="E39" s="1798">
        <v>1660649</v>
      </c>
      <c r="F39" s="1798">
        <v>1785131</v>
      </c>
      <c r="G39" s="1798">
        <v>1962483</v>
      </c>
      <c r="H39" s="1798">
        <v>2041353</v>
      </c>
      <c r="I39" s="1798">
        <v>2150058</v>
      </c>
      <c r="J39" s="1798">
        <v>2315255</v>
      </c>
      <c r="K39" s="1798">
        <v>2414669</v>
      </c>
      <c r="L39" s="1798">
        <v>2550754</v>
      </c>
      <c r="M39" s="1798">
        <v>2733882</v>
      </c>
      <c r="N39" s="1799">
        <v>2921053</v>
      </c>
    </row>
    <row r="40" spans="1:14" ht="13.5" thickBot="1">
      <c r="A40" s="1808" t="s">
        <v>3809</v>
      </c>
      <c r="B40" s="1809"/>
      <c r="C40" s="1809"/>
      <c r="D40" s="1810">
        <f aca="true" t="shared" si="7" ref="D40:N40">(D11*100/D39)/1000</f>
        <v>1.5179165067250477</v>
      </c>
      <c r="E40" s="1810">
        <f t="shared" si="7"/>
        <v>1.602632645429588</v>
      </c>
      <c r="F40" s="1810">
        <f t="shared" si="7"/>
        <v>1.4724812912889866</v>
      </c>
      <c r="G40" s="1810">
        <f t="shared" si="7"/>
        <v>1.3840550975473418</v>
      </c>
      <c r="H40" s="1810">
        <f t="shared" si="7"/>
        <v>1.4189477763032656</v>
      </c>
      <c r="I40" s="1810">
        <f t="shared" si="7"/>
        <v>1.5210244560844406</v>
      </c>
      <c r="J40" s="1810">
        <f t="shared" si="7"/>
        <v>1.5939129815074367</v>
      </c>
      <c r="K40" s="1810">
        <f t="shared" si="7"/>
        <v>1.6967128413873702</v>
      </c>
      <c r="L40" s="1810">
        <f t="shared" si="7"/>
        <v>1.7644333793066678</v>
      </c>
      <c r="M40" s="1810">
        <f t="shared" si="7"/>
        <v>1.7436450805118875</v>
      </c>
      <c r="N40" s="1811">
        <f t="shared" si="7"/>
        <v>1.7758002679170835</v>
      </c>
    </row>
    <row r="41" spans="1:14" ht="12.75">
      <c r="A41" s="1417" t="s">
        <v>3703</v>
      </c>
      <c r="B41" s="1417"/>
      <c r="C41" s="1417"/>
      <c r="D41" s="1417"/>
      <c r="E41" s="1417"/>
      <c r="F41" s="1417"/>
      <c r="G41" s="1417"/>
      <c r="H41" s="1417"/>
      <c r="I41" s="1812"/>
      <c r="J41" s="1812"/>
      <c r="K41" s="1812"/>
      <c r="L41" s="1812"/>
      <c r="M41" s="1812"/>
      <c r="N41" s="1812"/>
    </row>
    <row r="42" spans="1:14" ht="12.75">
      <c r="A42" s="1417" t="s">
        <v>3807</v>
      </c>
      <c r="B42" s="1417"/>
      <c r="C42" s="1417"/>
      <c r="D42" s="1417"/>
      <c r="E42" s="1417"/>
      <c r="F42" s="1417"/>
      <c r="G42" s="1417"/>
      <c r="H42" s="1417"/>
      <c r="I42" s="1417"/>
      <c r="J42" s="1812"/>
      <c r="K42" s="1812"/>
      <c r="L42" s="1812"/>
      <c r="M42" s="1812"/>
      <c r="N42" s="1812"/>
    </row>
    <row r="43" spans="1:14" ht="12.75">
      <c r="A43" s="1417" t="s">
        <v>3810</v>
      </c>
      <c r="B43" s="1417"/>
      <c r="C43" s="1417"/>
      <c r="D43" s="1417"/>
      <c r="E43" s="1417"/>
      <c r="F43" s="1417"/>
      <c r="G43" s="1417"/>
      <c r="H43" s="1417"/>
      <c r="I43" s="1417"/>
      <c r="J43" s="1417"/>
      <c r="K43" s="1417"/>
      <c r="L43" s="1417"/>
      <c r="M43" s="1812"/>
      <c r="N43" s="1812"/>
    </row>
    <row r="44" spans="1:14" ht="12.75">
      <c r="A44" s="1417" t="s">
        <v>3811</v>
      </c>
      <c r="B44" s="1417"/>
      <c r="C44" s="1417"/>
      <c r="D44" s="1417"/>
      <c r="E44" s="1417"/>
      <c r="F44" s="1417"/>
      <c r="G44" s="1417"/>
      <c r="H44" s="1417"/>
      <c r="I44" s="1417"/>
      <c r="J44" s="1417"/>
      <c r="K44" s="1417"/>
      <c r="L44" s="1417"/>
      <c r="M44" s="1812"/>
      <c r="N44" s="1813"/>
    </row>
    <row r="45" spans="1:14" ht="12.75">
      <c r="A45" s="1417" t="s">
        <v>3704</v>
      </c>
      <c r="B45" s="1417"/>
      <c r="C45" s="1417"/>
      <c r="D45" s="1417"/>
      <c r="E45" s="1417"/>
      <c r="F45" s="1417"/>
      <c r="G45" s="1417"/>
      <c r="H45" s="1417"/>
      <c r="I45" s="1812"/>
      <c r="J45" s="1812"/>
      <c r="K45" s="1812"/>
      <c r="L45" s="1812"/>
      <c r="M45" s="1812"/>
      <c r="N45" s="1812"/>
    </row>
    <row r="46" spans="1:11" ht="12.75">
      <c r="A46" s="1421" t="s">
        <v>3705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</row>
    <row r="47" spans="1:12" ht="12.75" customHeight="1">
      <c r="A47" s="1421"/>
      <c r="L47" s="1683"/>
    </row>
    <row r="48" spans="1:14" ht="15">
      <c r="A48" s="1370" t="s">
        <v>3737</v>
      </c>
      <c r="I48" s="144" t="s">
        <v>3602</v>
      </c>
      <c r="M48" s="1952" t="s">
        <v>3510</v>
      </c>
      <c r="N48" s="1952"/>
    </row>
    <row r="49" ht="12.75">
      <c r="L49" s="1683"/>
    </row>
    <row r="50" ht="12.75">
      <c r="L50" s="1683"/>
    </row>
    <row r="51" ht="12.75">
      <c r="L51" s="1683"/>
    </row>
    <row r="52" ht="12.75">
      <c r="M52" s="1683"/>
    </row>
  </sheetData>
  <mergeCells count="3">
    <mergeCell ref="M1:N1"/>
    <mergeCell ref="M48:N48"/>
    <mergeCell ref="A2:N2"/>
  </mergeCells>
  <printOptions horizontalCentered="1"/>
  <pageMargins left="0" right="0" top="0.7874015748031497" bottom="0.31496062992125984" header="0.31496062992125984" footer="0.31496062992125984"/>
  <pageSetup fitToHeight="1" fitToWidth="1" horizontalDpi="600" verticalDpi="600" orientation="landscape" paperSize="9" scale="83" r:id="rId1"/>
  <headerFooter alignWithMargins="0">
    <oddFooter>&amp;C&amp;12&amp;P+145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workbookViewId="0" topLeftCell="A1">
      <selection activeCell="A19" sqref="A19"/>
    </sheetView>
  </sheetViews>
  <sheetFormatPr defaultColWidth="9.00390625" defaultRowHeight="12.75"/>
  <cols>
    <col min="2" max="2" width="40.625" style="174" customWidth="1"/>
    <col min="3" max="14" width="15.625" style="392" customWidth="1"/>
    <col min="15" max="15" width="12.875" style="392" customWidth="1"/>
    <col min="16" max="16" width="17.00390625" style="392" customWidth="1"/>
  </cols>
  <sheetData>
    <row r="1" spans="2:16" ht="15">
      <c r="B1" s="1741" t="s">
        <v>3513</v>
      </c>
      <c r="P1" s="399" t="s">
        <v>3792</v>
      </c>
    </row>
    <row r="3" spans="2:16" ht="17.25">
      <c r="B3" s="1854" t="s">
        <v>3791</v>
      </c>
      <c r="C3" s="1854"/>
      <c r="D3" s="1854"/>
      <c r="E3" s="1854"/>
      <c r="F3" s="1854"/>
      <c r="G3" s="1854"/>
      <c r="H3" s="1854"/>
      <c r="I3" s="1854"/>
      <c r="J3" s="1854"/>
      <c r="K3" s="1854"/>
      <c r="L3" s="1854"/>
      <c r="M3" s="1854"/>
      <c r="N3" s="1854"/>
      <c r="O3" s="1854"/>
      <c r="P3" s="1854"/>
    </row>
    <row r="5" ht="15" thickBot="1">
      <c r="P5" s="399" t="s">
        <v>2575</v>
      </c>
    </row>
    <row r="6" spans="2:16" ht="15">
      <c r="B6" s="1742" t="s">
        <v>2583</v>
      </c>
      <c r="C6" s="1743" t="s">
        <v>3760</v>
      </c>
      <c r="D6" s="1744"/>
      <c r="E6" s="1744"/>
      <c r="F6" s="1744"/>
      <c r="G6" s="1744"/>
      <c r="H6" s="1744"/>
      <c r="I6" s="1744"/>
      <c r="J6" s="1745"/>
      <c r="K6" s="1744"/>
      <c r="L6" s="1745"/>
      <c r="M6" s="1744"/>
      <c r="N6" s="1745"/>
      <c r="O6" s="1744"/>
      <c r="P6" s="1745"/>
    </row>
    <row r="7" spans="2:16" ht="27" customHeight="1" thickBot="1">
      <c r="B7" s="1746" t="s">
        <v>3761</v>
      </c>
      <c r="C7" s="1747">
        <v>2100</v>
      </c>
      <c r="D7" s="1748">
        <v>2201</v>
      </c>
      <c r="E7" s="1748">
        <v>2203</v>
      </c>
      <c r="F7" s="1748">
        <v>2204</v>
      </c>
      <c r="G7" s="1748">
        <v>2206</v>
      </c>
      <c r="H7" s="1748">
        <v>2207</v>
      </c>
      <c r="I7" s="1748">
        <v>2208</v>
      </c>
      <c r="J7" s="1749">
        <v>2212</v>
      </c>
      <c r="K7" s="1748">
        <v>2213</v>
      </c>
      <c r="L7" s="1749">
        <v>2218</v>
      </c>
      <c r="M7" s="1748">
        <v>2220</v>
      </c>
      <c r="N7" s="1749">
        <v>2221</v>
      </c>
      <c r="O7" s="1748">
        <v>3100</v>
      </c>
      <c r="P7" s="1750" t="s">
        <v>3762</v>
      </c>
    </row>
    <row r="8" spans="2:16" ht="15.75" thickBot="1">
      <c r="B8" s="1751" t="s">
        <v>2656</v>
      </c>
      <c r="C8" s="1752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>
        <v>-2204.035</v>
      </c>
      <c r="O8" s="1753"/>
      <c r="P8" s="1754">
        <f>SUM(C8:O8)</f>
        <v>-2204.035</v>
      </c>
    </row>
    <row r="9" spans="2:16" ht="15.75" thickBot="1">
      <c r="B9" s="1755"/>
      <c r="C9" s="1756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8"/>
    </row>
    <row r="10" spans="2:16" ht="15.75" thickBot="1">
      <c r="B10" s="1751" t="s">
        <v>2590</v>
      </c>
      <c r="C10" s="1752"/>
      <c r="D10" s="1753"/>
      <c r="E10" s="1753"/>
      <c r="F10" s="1753"/>
      <c r="G10" s="1753"/>
      <c r="H10" s="1753"/>
      <c r="I10" s="1753">
        <v>-29.89</v>
      </c>
      <c r="J10" s="1753"/>
      <c r="K10" s="1753"/>
      <c r="L10" s="1753"/>
      <c r="M10" s="1753"/>
      <c r="N10" s="1753"/>
      <c r="O10" s="1753"/>
      <c r="P10" s="1754">
        <f>SUM(C10:O10)</f>
        <v>-29.89</v>
      </c>
    </row>
    <row r="11" spans="2:16" ht="15.75" thickBot="1">
      <c r="B11" s="1751"/>
      <c r="C11" s="1752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9"/>
    </row>
    <row r="12" spans="2:16" ht="15.75" thickBot="1">
      <c r="B12" s="1760" t="s">
        <v>2643</v>
      </c>
      <c r="C12" s="1761"/>
      <c r="D12" s="1762"/>
      <c r="E12" s="1762"/>
      <c r="F12" s="1762"/>
      <c r="G12" s="1762"/>
      <c r="H12" s="1762"/>
      <c r="I12" s="1762"/>
      <c r="J12" s="1762"/>
      <c r="K12" s="1762"/>
      <c r="L12" s="1762"/>
      <c r="M12" s="1762"/>
      <c r="N12" s="1762"/>
      <c r="O12" s="1762">
        <v>-6169.66</v>
      </c>
      <c r="P12" s="1763">
        <f>SUM(C12:O12)</f>
        <v>-6169.66</v>
      </c>
    </row>
    <row r="13" spans="2:16" ht="15.75" thickBot="1">
      <c r="B13" s="1755"/>
      <c r="C13" s="1756"/>
      <c r="D13" s="1757"/>
      <c r="E13" s="1757"/>
      <c r="F13" s="1757"/>
      <c r="G13" s="1757"/>
      <c r="H13" s="1757"/>
      <c r="I13" s="1757"/>
      <c r="J13" s="1757"/>
      <c r="K13" s="1757"/>
      <c r="L13" s="1757"/>
      <c r="M13" s="1757"/>
      <c r="N13" s="1757"/>
      <c r="O13" s="1757"/>
      <c r="P13" s="1758"/>
    </row>
    <row r="14" spans="2:16" ht="15.75" thickBot="1">
      <c r="B14" s="1751" t="s">
        <v>2644</v>
      </c>
      <c r="C14" s="1752"/>
      <c r="D14" s="1753">
        <v>-1869.91</v>
      </c>
      <c r="E14" s="1753"/>
      <c r="F14" s="1753"/>
      <c r="G14" s="1753"/>
      <c r="H14" s="1753"/>
      <c r="I14" s="1753"/>
      <c r="J14" s="1753"/>
      <c r="K14" s="1753"/>
      <c r="L14" s="1753"/>
      <c r="M14" s="1753"/>
      <c r="N14" s="1753"/>
      <c r="O14" s="1753"/>
      <c r="P14" s="1754">
        <f>SUM(C14:O14)</f>
        <v>-1869.91</v>
      </c>
    </row>
    <row r="15" spans="2:16" ht="15.75" thickBot="1">
      <c r="B15" s="1755"/>
      <c r="C15" s="1756"/>
      <c r="D15" s="1757"/>
      <c r="E15" s="1757"/>
      <c r="F15" s="1757"/>
      <c r="G15" s="1757"/>
      <c r="H15" s="1757"/>
      <c r="I15" s="1757"/>
      <c r="J15" s="1757"/>
      <c r="K15" s="1757"/>
      <c r="L15" s="1757"/>
      <c r="M15" s="1757"/>
      <c r="N15" s="1757"/>
      <c r="O15" s="1757"/>
      <c r="P15" s="1758"/>
    </row>
    <row r="16" spans="2:16" ht="15">
      <c r="B16" s="1764" t="s">
        <v>3763</v>
      </c>
      <c r="C16" s="1765">
        <v>31590.628</v>
      </c>
      <c r="D16" s="1766"/>
      <c r="E16" s="1766"/>
      <c r="F16" s="1766"/>
      <c r="G16" s="1766"/>
      <c r="H16" s="1766"/>
      <c r="I16" s="1766"/>
      <c r="J16" s="1766"/>
      <c r="K16" s="1766"/>
      <c r="L16" s="1766"/>
      <c r="M16" s="1766"/>
      <c r="N16" s="1766"/>
      <c r="O16" s="1766">
        <v>2006.384</v>
      </c>
      <c r="P16" s="1767">
        <f>SUM(C16:O16)</f>
        <v>33597.012</v>
      </c>
    </row>
    <row r="17" spans="2:16" ht="15.75" thickBot="1">
      <c r="B17" s="1760" t="s">
        <v>3764</v>
      </c>
      <c r="C17" s="1761">
        <v>0</v>
      </c>
      <c r="D17" s="1762"/>
      <c r="E17" s="1762"/>
      <c r="F17" s="1762">
        <v>-4095.7</v>
      </c>
      <c r="G17" s="1762"/>
      <c r="H17" s="1762">
        <v>-582.6</v>
      </c>
      <c r="I17" s="1762">
        <v>-988.51</v>
      </c>
      <c r="J17" s="1762"/>
      <c r="K17" s="1762"/>
      <c r="L17" s="1762">
        <v>-2085.33</v>
      </c>
      <c r="M17" s="1762"/>
      <c r="N17" s="1762"/>
      <c r="O17" s="1762"/>
      <c r="P17" s="1763">
        <f>SUM(C17:O17)</f>
        <v>-7752.14</v>
      </c>
    </row>
    <row r="18" spans="2:16" ht="15.75" thickBot="1">
      <c r="B18" s="1755"/>
      <c r="C18" s="1756"/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8"/>
    </row>
    <row r="19" spans="2:16" ht="15">
      <c r="B19" s="1768" t="s">
        <v>3468</v>
      </c>
      <c r="C19" s="1765">
        <f>201.97+27367.76</f>
        <v>27569.73</v>
      </c>
      <c r="D19" s="1766"/>
      <c r="E19" s="1766"/>
      <c r="F19" s="1766"/>
      <c r="G19" s="1766"/>
      <c r="H19" s="1766"/>
      <c r="I19" s="1766"/>
      <c r="J19" s="1766"/>
      <c r="K19" s="1766"/>
      <c r="L19" s="1766"/>
      <c r="M19" s="1766"/>
      <c r="N19" s="1766"/>
      <c r="O19" s="1766"/>
      <c r="P19" s="1767">
        <f>SUM(C19:O19)</f>
        <v>27569.73</v>
      </c>
    </row>
    <row r="20" spans="2:16" ht="15.75" thickBot="1">
      <c r="B20" s="1769"/>
      <c r="C20" s="1761">
        <v>-443.26</v>
      </c>
      <c r="D20" s="1762"/>
      <c r="E20" s="1762"/>
      <c r="F20" s="1762"/>
      <c r="G20" s="1762"/>
      <c r="H20" s="1762"/>
      <c r="I20" s="1762"/>
      <c r="J20" s="1762"/>
      <c r="K20" s="1762"/>
      <c r="L20" s="1762"/>
      <c r="M20" s="1762"/>
      <c r="N20" s="1762"/>
      <c r="O20" s="1762">
        <f>-1468.33</f>
        <v>-1468.33</v>
      </c>
      <c r="P20" s="1763">
        <f>SUM(C20:O20)</f>
        <v>-1911.59</v>
      </c>
    </row>
    <row r="21" spans="2:16" ht="15.75" thickBot="1">
      <c r="B21" s="1755"/>
      <c r="C21" s="1756"/>
      <c r="D21" s="1757"/>
      <c r="E21" s="1757"/>
      <c r="F21" s="1757"/>
      <c r="G21" s="1757"/>
      <c r="H21" s="1757"/>
      <c r="I21" s="1757"/>
      <c r="J21" s="1757"/>
      <c r="K21" s="1757"/>
      <c r="L21" s="1757"/>
      <c r="M21" s="1757"/>
      <c r="N21" s="1757"/>
      <c r="O21" s="1757"/>
      <c r="P21" s="1758"/>
    </row>
    <row r="22" spans="2:16" ht="15.75" thickBot="1">
      <c r="B22" s="1751" t="s">
        <v>3479</v>
      </c>
      <c r="C22" s="1752">
        <v>-85.769</v>
      </c>
      <c r="D22" s="1753"/>
      <c r="E22" s="1753"/>
      <c r="F22" s="1753"/>
      <c r="G22" s="1753"/>
      <c r="H22" s="1753"/>
      <c r="I22" s="1753"/>
      <c r="J22" s="1753"/>
      <c r="K22" s="1753"/>
      <c r="L22" s="1753"/>
      <c r="M22" s="1753"/>
      <c r="N22" s="1753"/>
      <c r="O22" s="1753"/>
      <c r="P22" s="1754">
        <f>SUM(C22:O22)</f>
        <v>-85.769</v>
      </c>
    </row>
    <row r="23" spans="2:16" ht="15.75" thickBot="1">
      <c r="B23" s="1755"/>
      <c r="C23" s="1756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8"/>
    </row>
    <row r="24" spans="2:16" ht="15.75" thickBot="1">
      <c r="B24" s="1751" t="s">
        <v>3481</v>
      </c>
      <c r="C24" s="1752">
        <f>5134.866+3685.97+423.48+623.12</f>
        <v>9867.436</v>
      </c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>
        <f>38.7+14.16+205.01+0</f>
        <v>257.87</v>
      </c>
      <c r="P24" s="1770">
        <f>SUM(C24:O24)</f>
        <v>10125.306</v>
      </c>
    </row>
    <row r="25" spans="2:16" ht="15.75" thickBot="1">
      <c r="B25" s="1755"/>
      <c r="C25" s="1756"/>
      <c r="D25" s="1757"/>
      <c r="E25" s="1757"/>
      <c r="F25" s="1757"/>
      <c r="G25" s="1757"/>
      <c r="H25" s="1757"/>
      <c r="I25" s="1757"/>
      <c r="J25" s="1757"/>
      <c r="K25" s="1757"/>
      <c r="L25" s="1757"/>
      <c r="M25" s="1757"/>
      <c r="N25" s="1757"/>
      <c r="O25" s="1757"/>
      <c r="P25" s="1758"/>
    </row>
    <row r="26" spans="2:16" ht="15.75" thickBot="1">
      <c r="B26" s="1751" t="s">
        <v>3799</v>
      </c>
      <c r="C26" s="1752">
        <f>207.07+254.573+34.843</f>
        <v>496.48600000000005</v>
      </c>
      <c r="D26" s="1753"/>
      <c r="E26" s="1753"/>
      <c r="F26" s="1753"/>
      <c r="G26" s="1753"/>
      <c r="H26" s="1753"/>
      <c r="I26" s="1753"/>
      <c r="J26" s="1753"/>
      <c r="K26" s="1753"/>
      <c r="L26" s="1753"/>
      <c r="M26" s="1753"/>
      <c r="N26" s="1753"/>
      <c r="O26" s="1753">
        <f>141.34+3.148+0.953+13.347+1.113+14.295+5.44+3.348</f>
        <v>182.984</v>
      </c>
      <c r="P26" s="1770">
        <f>SUM(C26:O26)</f>
        <v>679.47</v>
      </c>
    </row>
    <row r="27" spans="2:16" ht="15.75" thickBot="1">
      <c r="B27" s="1751"/>
      <c r="C27" s="1752"/>
      <c r="D27" s="1753"/>
      <c r="E27" s="1753"/>
      <c r="F27" s="1753"/>
      <c r="G27" s="1753"/>
      <c r="H27" s="1753"/>
      <c r="I27" s="1753"/>
      <c r="J27" s="1753"/>
      <c r="K27" s="1753"/>
      <c r="L27" s="1753"/>
      <c r="M27" s="1753"/>
      <c r="N27" s="1753"/>
      <c r="O27" s="1753"/>
      <c r="P27" s="1759"/>
    </row>
    <row r="28" spans="2:16" ht="15.75" thickBot="1">
      <c r="B28" s="1760" t="s">
        <v>2729</v>
      </c>
      <c r="C28" s="1761">
        <v>-17306.54</v>
      </c>
      <c r="D28" s="1762"/>
      <c r="E28" s="1762"/>
      <c r="F28" s="1762"/>
      <c r="G28" s="1762"/>
      <c r="H28" s="1762"/>
      <c r="I28" s="1762"/>
      <c r="J28" s="1762"/>
      <c r="K28" s="1762"/>
      <c r="L28" s="1762"/>
      <c r="M28" s="1762"/>
      <c r="N28" s="1762"/>
      <c r="O28" s="1762">
        <v>-1091.185</v>
      </c>
      <c r="P28" s="1763">
        <f>SUM(C28:O28)</f>
        <v>-18397.725000000002</v>
      </c>
    </row>
    <row r="29" spans="2:16" ht="15.75" thickBot="1">
      <c r="B29" s="1755"/>
      <c r="C29" s="1756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8"/>
    </row>
    <row r="30" spans="2:16" ht="15">
      <c r="B30" s="1764" t="s">
        <v>3765</v>
      </c>
      <c r="C30" s="1765"/>
      <c r="D30" s="1766"/>
      <c r="E30" s="1766"/>
      <c r="F30" s="1766"/>
      <c r="G30" s="1766"/>
      <c r="H30" s="1766"/>
      <c r="I30" s="1766"/>
      <c r="J30" s="1766"/>
      <c r="K30" s="1766"/>
      <c r="L30" s="1766"/>
      <c r="M30" s="1766"/>
      <c r="N30" s="1766"/>
      <c r="O30" s="1766">
        <f>128.35+4.15+30.164+202.262+9.947+8.916+0.833+4.1</f>
        <v>388.72200000000004</v>
      </c>
      <c r="P30" s="1767">
        <f>SUM(C30:O30)</f>
        <v>388.72200000000004</v>
      </c>
    </row>
    <row r="31" spans="2:16" ht="15.75" thickBot="1">
      <c r="B31" s="1760" t="s">
        <v>3766</v>
      </c>
      <c r="C31" s="1761"/>
      <c r="D31" s="1762"/>
      <c r="E31" s="1762"/>
      <c r="F31" s="1762"/>
      <c r="G31" s="1762"/>
      <c r="H31" s="1762"/>
      <c r="I31" s="1762"/>
      <c r="J31" s="1762"/>
      <c r="K31" s="1762"/>
      <c r="L31" s="1762"/>
      <c r="M31" s="1762"/>
      <c r="N31" s="1771">
        <v>-580.51</v>
      </c>
      <c r="O31" s="1762"/>
      <c r="P31" s="1763">
        <f>SUM(C31:O31)</f>
        <v>-580.51</v>
      </c>
    </row>
    <row r="32" spans="2:16" ht="15.75" thickBot="1">
      <c r="B32" s="1755"/>
      <c r="C32" s="1756"/>
      <c r="D32" s="1757"/>
      <c r="E32" s="1757"/>
      <c r="F32" s="1757"/>
      <c r="G32" s="1757"/>
      <c r="H32" s="1757"/>
      <c r="I32" s="1757"/>
      <c r="J32" s="1757"/>
      <c r="K32" s="1757"/>
      <c r="L32" s="1757"/>
      <c r="M32" s="1757"/>
      <c r="N32" s="1757"/>
      <c r="O32" s="1757"/>
      <c r="P32" s="1758"/>
    </row>
    <row r="33" spans="2:16" ht="15">
      <c r="B33" s="1742" t="s">
        <v>3767</v>
      </c>
      <c r="C33" s="1765">
        <f>32604.653</f>
        <v>32604.653</v>
      </c>
      <c r="D33" s="1766"/>
      <c r="E33" s="1766"/>
      <c r="F33" s="1766"/>
      <c r="G33" s="1766"/>
      <c r="H33" s="1766"/>
      <c r="I33" s="1766"/>
      <c r="J33" s="1766"/>
      <c r="K33" s="1766"/>
      <c r="L33" s="1766"/>
      <c r="M33" s="1766"/>
      <c r="N33" s="1766"/>
      <c r="O33" s="1766">
        <f>4295.43</f>
        <v>4295.43</v>
      </c>
      <c r="P33" s="1767">
        <f>SUM(C33:O33)</f>
        <v>36900.083</v>
      </c>
    </row>
    <row r="34" spans="2:16" ht="15.75" thickBot="1">
      <c r="B34" s="1772" t="s">
        <v>3800</v>
      </c>
      <c r="C34" s="1761">
        <v>-9249.52</v>
      </c>
      <c r="D34" s="1762">
        <v>-35.59</v>
      </c>
      <c r="E34" s="1762"/>
      <c r="F34" s="1762">
        <v>-199.6</v>
      </c>
      <c r="G34" s="1762"/>
      <c r="H34" s="1762"/>
      <c r="I34" s="1762">
        <v>-3397.36</v>
      </c>
      <c r="J34" s="1762"/>
      <c r="K34" s="1762"/>
      <c r="L34" s="1762"/>
      <c r="M34" s="1762"/>
      <c r="N34" s="1762"/>
      <c r="O34" s="1762">
        <v>-13.72</v>
      </c>
      <c r="P34" s="1763">
        <f>SUM(C34:O34)</f>
        <v>-12895.79</v>
      </c>
    </row>
    <row r="35" spans="2:16" ht="15.75" thickBot="1">
      <c r="B35" s="1755"/>
      <c r="C35" s="1756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8"/>
    </row>
    <row r="36" spans="2:16" ht="15">
      <c r="B36" s="1764" t="s">
        <v>3801</v>
      </c>
      <c r="C36" s="1765">
        <v>1090.911</v>
      </c>
      <c r="D36" s="1766"/>
      <c r="E36" s="1766"/>
      <c r="F36" s="1766"/>
      <c r="G36" s="1766"/>
      <c r="H36" s="1766"/>
      <c r="I36" s="1766"/>
      <c r="J36" s="1766"/>
      <c r="K36" s="1766"/>
      <c r="L36" s="1766"/>
      <c r="M36" s="1766"/>
      <c r="N36" s="1766"/>
      <c r="O36" s="1766">
        <f>11.64+86.4989+217.05</f>
        <v>315.1889</v>
      </c>
      <c r="P36" s="1767">
        <f>SUM(C36:O36)</f>
        <v>1406.0999000000002</v>
      </c>
    </row>
    <row r="37" spans="2:16" ht="15.75" thickBot="1">
      <c r="B37" s="1760" t="s">
        <v>3768</v>
      </c>
      <c r="C37" s="1761">
        <f>-935.616</f>
        <v>-935.616</v>
      </c>
      <c r="D37" s="1762"/>
      <c r="E37" s="1762"/>
      <c r="F37" s="1762"/>
      <c r="G37" s="1762"/>
      <c r="H37" s="1762">
        <v>-204</v>
      </c>
      <c r="I37" s="1762">
        <v>-4525.792</v>
      </c>
      <c r="J37" s="1762">
        <v>-107.612</v>
      </c>
      <c r="K37" s="1762">
        <v>-24.89</v>
      </c>
      <c r="L37" s="1762"/>
      <c r="M37" s="1762">
        <v>-51.88</v>
      </c>
      <c r="N37" s="1762"/>
      <c r="O37" s="1762">
        <f>-34.578-97.65-28.5-12.1</f>
        <v>-172.828</v>
      </c>
      <c r="P37" s="1763">
        <f>SUM(C37:O37)</f>
        <v>-6022.618000000001</v>
      </c>
    </row>
    <row r="38" spans="2:16" ht="15.75" thickBot="1">
      <c r="B38" s="1751"/>
      <c r="C38" s="1752"/>
      <c r="D38" s="1753"/>
      <c r="E38" s="1753"/>
      <c r="F38" s="1753"/>
      <c r="G38" s="1753"/>
      <c r="H38" s="1753"/>
      <c r="I38" s="1753"/>
      <c r="J38" s="1753"/>
      <c r="K38" s="1753"/>
      <c r="L38" s="1753"/>
      <c r="M38" s="1753"/>
      <c r="N38" s="1753"/>
      <c r="O38" s="1753"/>
      <c r="P38" s="1759"/>
    </row>
    <row r="39" spans="2:16" ht="15.75" thickBot="1">
      <c r="B39" s="1760" t="s">
        <v>3793</v>
      </c>
      <c r="C39" s="1761"/>
      <c r="D39" s="1762"/>
      <c r="E39" s="1762"/>
      <c r="F39" s="1762"/>
      <c r="G39" s="1762"/>
      <c r="H39" s="1762"/>
      <c r="I39" s="1762">
        <v>-1936.027</v>
      </c>
      <c r="J39" s="1762"/>
      <c r="K39" s="1762"/>
      <c r="L39" s="1762">
        <v>-46</v>
      </c>
      <c r="M39" s="1762"/>
      <c r="N39" s="1762"/>
      <c r="O39" s="1762">
        <v>-1467.136</v>
      </c>
      <c r="P39" s="1763">
        <f>SUM(C39:O39)</f>
        <v>-3449.163</v>
      </c>
    </row>
    <row r="40" spans="2:16" ht="15.75" thickBot="1">
      <c r="B40" s="1751"/>
      <c r="C40" s="1752"/>
      <c r="D40" s="1753"/>
      <c r="E40" s="1753"/>
      <c r="F40" s="1753"/>
      <c r="G40" s="1753"/>
      <c r="H40" s="1753"/>
      <c r="I40" s="1753"/>
      <c r="J40" s="1753"/>
      <c r="K40" s="1753"/>
      <c r="L40" s="1753"/>
      <c r="M40" s="1753"/>
      <c r="N40" s="1753"/>
      <c r="O40" s="1753"/>
      <c r="P40" s="1759"/>
    </row>
    <row r="41" spans="2:16" ht="15.75" thickBot="1">
      <c r="B41" s="1760" t="s">
        <v>3794</v>
      </c>
      <c r="C41" s="1761">
        <v>-38719.913</v>
      </c>
      <c r="D41" s="1762"/>
      <c r="E41" s="1762"/>
      <c r="F41" s="1762"/>
      <c r="G41" s="1762"/>
      <c r="H41" s="1762"/>
      <c r="I41" s="1762">
        <v>-3893.844</v>
      </c>
      <c r="J41" s="1762"/>
      <c r="K41" s="1762"/>
      <c r="L41" s="1762"/>
      <c r="M41" s="1762"/>
      <c r="N41" s="1762"/>
      <c r="O41" s="1762">
        <v>-1824.24</v>
      </c>
      <c r="P41" s="1763">
        <f>SUM(C41:O41)</f>
        <v>-44437.996999999996</v>
      </c>
    </row>
    <row r="42" spans="2:16" ht="15.75" thickBot="1">
      <c r="B42" s="1755"/>
      <c r="C42" s="1756"/>
      <c r="D42" s="1757"/>
      <c r="E42" s="1757"/>
      <c r="F42" s="1757"/>
      <c r="G42" s="1757"/>
      <c r="H42" s="1757"/>
      <c r="I42" s="1757"/>
      <c r="J42" s="1757"/>
      <c r="K42" s="1757"/>
      <c r="L42" s="1757"/>
      <c r="M42" s="1757"/>
      <c r="N42" s="1757"/>
      <c r="O42" s="1757"/>
      <c r="P42" s="1758"/>
    </row>
    <row r="43" spans="2:16" ht="15">
      <c r="B43" s="1764" t="s">
        <v>3801</v>
      </c>
      <c r="C43" s="1765"/>
      <c r="D43" s="1766"/>
      <c r="E43" s="1766"/>
      <c r="F43" s="1766"/>
      <c r="G43" s="1766"/>
      <c r="H43" s="1766"/>
      <c r="I43" s="1766"/>
      <c r="J43" s="1766"/>
      <c r="K43" s="1766"/>
      <c r="L43" s="1766"/>
      <c r="M43" s="1766"/>
      <c r="N43" s="1766"/>
      <c r="O43" s="1766">
        <f>1966.65+5.558+762.32+0.351+1.155+1.895+19.84+22.89+48.5+78.711+23.55+23.9+25.1+49+42.3</f>
        <v>3071.7200000000007</v>
      </c>
      <c r="P43" s="1767">
        <f>SUM(C43:O43)</f>
        <v>3071.7200000000007</v>
      </c>
    </row>
    <row r="44" spans="2:16" ht="15.75" thickBot="1">
      <c r="B44" s="1760" t="s">
        <v>3769</v>
      </c>
      <c r="C44" s="1761"/>
      <c r="D44" s="1762"/>
      <c r="E44" s="1762"/>
      <c r="F44" s="1762"/>
      <c r="G44" s="1762"/>
      <c r="H44" s="1762"/>
      <c r="I44" s="1762">
        <v>-2614.597</v>
      </c>
      <c r="J44" s="1762"/>
      <c r="K44" s="1762"/>
      <c r="L44" s="1762"/>
      <c r="M44" s="1762"/>
      <c r="N44" s="1762"/>
      <c r="O44" s="1762">
        <f>-1.155-1.895-19.84-22.89-17.602-3.441-0.246-80.588-2.5</f>
        <v>-150.15699999999998</v>
      </c>
      <c r="P44" s="1763">
        <f>SUM(C44:O44)</f>
        <v>-2764.7540000000004</v>
      </c>
    </row>
    <row r="45" spans="2:16" ht="15.75" thickBot="1">
      <c r="B45" s="1751"/>
      <c r="C45" s="1752"/>
      <c r="D45" s="1753"/>
      <c r="E45" s="1753"/>
      <c r="F45" s="1753"/>
      <c r="G45" s="1753"/>
      <c r="H45" s="1753"/>
      <c r="I45" s="1753"/>
      <c r="J45" s="1753"/>
      <c r="K45" s="1753"/>
      <c r="L45" s="1753"/>
      <c r="M45" s="1753"/>
      <c r="N45" s="1753"/>
      <c r="O45" s="1753"/>
      <c r="P45" s="1759"/>
    </row>
    <row r="46" spans="2:16" ht="15.75" thickBot="1">
      <c r="B46" s="1760" t="s">
        <v>3795</v>
      </c>
      <c r="C46" s="1761">
        <v>-3388.006</v>
      </c>
      <c r="D46" s="1762"/>
      <c r="E46" s="1762"/>
      <c r="F46" s="1762"/>
      <c r="G46" s="1762"/>
      <c r="H46" s="1762"/>
      <c r="I46" s="1762">
        <v>-2614.597</v>
      </c>
      <c r="J46" s="1762"/>
      <c r="K46" s="1762"/>
      <c r="L46" s="1762"/>
      <c r="M46" s="1762"/>
      <c r="N46" s="1762"/>
      <c r="O46" s="1762">
        <v>-509.464</v>
      </c>
      <c r="P46" s="1763">
        <f>SUM(C46:O46)</f>
        <v>-6512.067</v>
      </c>
    </row>
    <row r="47" spans="2:16" ht="15.75" thickBot="1">
      <c r="B47" s="1751"/>
      <c r="C47" s="1752"/>
      <c r="D47" s="1753"/>
      <c r="E47" s="1753"/>
      <c r="F47" s="1753"/>
      <c r="G47" s="1753"/>
      <c r="H47" s="1753"/>
      <c r="I47" s="1753"/>
      <c r="J47" s="1753"/>
      <c r="K47" s="1753"/>
      <c r="L47" s="1753"/>
      <c r="M47" s="1753"/>
      <c r="N47" s="1753"/>
      <c r="O47" s="1753"/>
      <c r="P47" s="1759"/>
    </row>
    <row r="48" spans="2:16" ht="15.75" thickBot="1">
      <c r="B48" s="1760" t="s">
        <v>3796</v>
      </c>
      <c r="C48" s="1761">
        <v>-7335.674</v>
      </c>
      <c r="D48" s="1762"/>
      <c r="E48" s="1762"/>
      <c r="F48" s="1762"/>
      <c r="G48" s="1762"/>
      <c r="H48" s="1762"/>
      <c r="I48" s="1762">
        <v>-3503.178</v>
      </c>
      <c r="J48" s="1762"/>
      <c r="K48" s="1762"/>
      <c r="L48" s="1762"/>
      <c r="M48" s="1762"/>
      <c r="N48" s="1762"/>
      <c r="O48" s="1762">
        <v>-98.853</v>
      </c>
      <c r="P48" s="1763">
        <f>SUM(C48:O48)</f>
        <v>-10937.704999999998</v>
      </c>
    </row>
    <row r="49" spans="2:16" ht="15.75" thickBot="1">
      <c r="B49" s="1751"/>
      <c r="C49" s="1752"/>
      <c r="D49" s="1753"/>
      <c r="E49" s="1753"/>
      <c r="F49" s="1753"/>
      <c r="G49" s="1753"/>
      <c r="H49" s="1753"/>
      <c r="I49" s="1753"/>
      <c r="J49" s="1753"/>
      <c r="K49" s="1753"/>
      <c r="L49" s="1753"/>
      <c r="M49" s="1753"/>
      <c r="N49" s="1753"/>
      <c r="O49" s="1753"/>
      <c r="P49" s="1759"/>
    </row>
    <row r="50" spans="2:16" ht="15.75" thickBot="1">
      <c r="B50" s="1760" t="s">
        <v>3797</v>
      </c>
      <c r="C50" s="1761">
        <v>-4243.364</v>
      </c>
      <c r="D50" s="1762"/>
      <c r="E50" s="1762"/>
      <c r="F50" s="1762"/>
      <c r="G50" s="1762"/>
      <c r="H50" s="1762"/>
      <c r="I50" s="1762">
        <f>-313.79-434.3</f>
        <v>-748.09</v>
      </c>
      <c r="J50" s="1762">
        <v>-114.466</v>
      </c>
      <c r="K50" s="1762"/>
      <c r="L50" s="1762"/>
      <c r="M50" s="1762"/>
      <c r="N50" s="1762"/>
      <c r="O50" s="1762">
        <v>-4406.673</v>
      </c>
      <c r="P50" s="1763">
        <f>SUM(C50:O50)</f>
        <v>-9512.593</v>
      </c>
    </row>
    <row r="51" spans="2:16" ht="15.75" thickBot="1">
      <c r="B51" s="1751"/>
      <c r="C51" s="1752"/>
      <c r="D51" s="1753"/>
      <c r="E51" s="1753"/>
      <c r="F51" s="1753"/>
      <c r="G51" s="1753"/>
      <c r="H51" s="1753"/>
      <c r="I51" s="1753"/>
      <c r="J51" s="1753"/>
      <c r="K51" s="1753"/>
      <c r="L51" s="1753"/>
      <c r="M51" s="1753"/>
      <c r="N51" s="1753"/>
      <c r="O51" s="1753"/>
      <c r="P51" s="1759"/>
    </row>
    <row r="52" spans="2:16" ht="15.75" thickBot="1">
      <c r="B52" s="1760" t="s">
        <v>3798</v>
      </c>
      <c r="C52" s="1761"/>
      <c r="D52" s="1762"/>
      <c r="E52" s="1762"/>
      <c r="F52" s="1762"/>
      <c r="G52" s="1762"/>
      <c r="H52" s="1762"/>
      <c r="I52" s="1762">
        <v>-2321.41</v>
      </c>
      <c r="J52" s="1762"/>
      <c r="K52" s="1762">
        <v>-248.95</v>
      </c>
      <c r="L52" s="1762"/>
      <c r="M52" s="1762"/>
      <c r="N52" s="1762"/>
      <c r="O52" s="1762">
        <v>-5267.025</v>
      </c>
      <c r="P52" s="1763">
        <f>SUM(C52:O52)</f>
        <v>-7837.384999999999</v>
      </c>
    </row>
    <row r="53" spans="2:16" ht="15.75" thickBot="1">
      <c r="B53" s="1741"/>
      <c r="C53" s="1773"/>
      <c r="D53" s="1773"/>
      <c r="E53" s="1773"/>
      <c r="F53" s="1773"/>
      <c r="G53" s="1773"/>
      <c r="H53" s="1773"/>
      <c r="I53" s="1773"/>
      <c r="J53" s="1773"/>
      <c r="K53" s="1773"/>
      <c r="L53" s="1773"/>
      <c r="M53" s="1773"/>
      <c r="N53" s="1773"/>
      <c r="O53" s="1773"/>
      <c r="P53" s="1773"/>
    </row>
    <row r="54" spans="2:16" ht="24" customHeight="1" thickBot="1">
      <c r="B54" s="1774" t="s">
        <v>3762</v>
      </c>
      <c r="C54" s="1775">
        <f aca="true" t="shared" si="0" ref="C54:P54">SUM(C8:C52)</f>
        <v>21512.182000000008</v>
      </c>
      <c r="D54" s="1775">
        <f t="shared" si="0"/>
        <v>-1905.5</v>
      </c>
      <c r="E54" s="1775">
        <f t="shared" si="0"/>
        <v>0</v>
      </c>
      <c r="F54" s="1775">
        <f t="shared" si="0"/>
        <v>-4295.3</v>
      </c>
      <c r="G54" s="1775">
        <f t="shared" si="0"/>
        <v>0</v>
      </c>
      <c r="H54" s="1775">
        <f t="shared" si="0"/>
        <v>-786.6</v>
      </c>
      <c r="I54" s="1775">
        <f t="shared" si="0"/>
        <v>-26573.295000000002</v>
      </c>
      <c r="J54" s="1775">
        <f t="shared" si="0"/>
        <v>-222.07799999999997</v>
      </c>
      <c r="K54" s="1775">
        <f t="shared" si="0"/>
        <v>-273.84</v>
      </c>
      <c r="L54" s="1775">
        <f t="shared" si="0"/>
        <v>-2131.33</v>
      </c>
      <c r="M54" s="1775">
        <f t="shared" si="0"/>
        <v>-51.88</v>
      </c>
      <c r="N54" s="1775">
        <f t="shared" si="0"/>
        <v>-2784.545</v>
      </c>
      <c r="O54" s="1775">
        <f t="shared" si="0"/>
        <v>-12120.972099999999</v>
      </c>
      <c r="P54" s="1775">
        <f t="shared" si="0"/>
        <v>-29633.158099999997</v>
      </c>
    </row>
    <row r="55" spans="2:16" ht="15.75" thickBot="1">
      <c r="B55" s="1741" t="s">
        <v>3770</v>
      </c>
      <c r="C55" s="1773"/>
      <c r="D55" s="1773"/>
      <c r="E55" s="1773"/>
      <c r="F55" s="1773"/>
      <c r="G55" s="1773"/>
      <c r="H55" s="1773"/>
      <c r="I55" s="1773"/>
      <c r="J55" s="1773"/>
      <c r="K55" s="1773"/>
      <c r="L55" s="1773"/>
      <c r="M55" s="1773"/>
      <c r="N55" s="1773"/>
      <c r="O55" s="1773"/>
      <c r="P55" s="1773"/>
    </row>
    <row r="56" spans="2:16" ht="15.75" thickBot="1">
      <c r="B56" s="1741" t="s">
        <v>3771</v>
      </c>
      <c r="C56" s="1776">
        <v>2100</v>
      </c>
      <c r="D56" s="1776">
        <v>2201</v>
      </c>
      <c r="E56" s="1776">
        <v>2203</v>
      </c>
      <c r="F56" s="1776">
        <v>2204</v>
      </c>
      <c r="G56" s="1776">
        <v>2206</v>
      </c>
      <c r="H56" s="1776">
        <v>2207</v>
      </c>
      <c r="I56" s="1776">
        <v>2208</v>
      </c>
      <c r="J56" s="1777">
        <v>2212</v>
      </c>
      <c r="K56" s="1776">
        <v>2213</v>
      </c>
      <c r="L56" s="1777">
        <v>2218</v>
      </c>
      <c r="M56" s="1776">
        <v>2220</v>
      </c>
      <c r="N56" s="1777">
        <v>2221</v>
      </c>
      <c r="O56" s="1776">
        <v>3100</v>
      </c>
      <c r="P56" s="1773"/>
    </row>
    <row r="57" spans="2:16" ht="15">
      <c r="B57" s="1741"/>
      <c r="C57" s="1778" t="s">
        <v>3772</v>
      </c>
      <c r="D57" s="1779" t="s">
        <v>3773</v>
      </c>
      <c r="E57" s="1779" t="s">
        <v>3773</v>
      </c>
      <c r="F57" s="1779" t="s">
        <v>3773</v>
      </c>
      <c r="G57" s="1779" t="s">
        <v>3773</v>
      </c>
      <c r="H57" s="1779" t="s">
        <v>3773</v>
      </c>
      <c r="I57" s="1779" t="s">
        <v>3773</v>
      </c>
      <c r="J57" s="1779" t="s">
        <v>3773</v>
      </c>
      <c r="K57" s="1779" t="s">
        <v>3773</v>
      </c>
      <c r="L57" s="1779" t="s">
        <v>3773</v>
      </c>
      <c r="M57" s="1779" t="s">
        <v>3773</v>
      </c>
      <c r="N57" s="1779" t="s">
        <v>3773</v>
      </c>
      <c r="O57" s="1780" t="s">
        <v>3774</v>
      </c>
      <c r="P57" s="1781"/>
    </row>
    <row r="58" spans="2:16" ht="15.75" thickBot="1">
      <c r="B58" s="1741"/>
      <c r="C58" s="1782" t="s">
        <v>3775</v>
      </c>
      <c r="D58" s="1771" t="s">
        <v>3776</v>
      </c>
      <c r="E58" s="1771" t="s">
        <v>3777</v>
      </c>
      <c r="F58" s="1771" t="s">
        <v>3778</v>
      </c>
      <c r="G58" s="1771" t="s">
        <v>3779</v>
      </c>
      <c r="H58" s="1771" t="s">
        <v>3780</v>
      </c>
      <c r="I58" s="1771" t="s">
        <v>3781</v>
      </c>
      <c r="J58" s="1771" t="s">
        <v>3782</v>
      </c>
      <c r="K58" s="1771" t="s">
        <v>3783</v>
      </c>
      <c r="L58" s="1771" t="s">
        <v>3784</v>
      </c>
      <c r="M58" s="1771" t="s">
        <v>3785</v>
      </c>
      <c r="N58" s="1771" t="s">
        <v>3786</v>
      </c>
      <c r="O58" s="1783"/>
      <c r="P58" s="1773"/>
    </row>
    <row r="59" spans="2:16" ht="15">
      <c r="B59" s="1784" t="s">
        <v>3787</v>
      </c>
      <c r="C59" s="1781" t="s">
        <v>3788</v>
      </c>
      <c r="D59" s="1773"/>
      <c r="E59" s="1773"/>
      <c r="F59" s="1773"/>
      <c r="G59" s="1773"/>
      <c r="H59" s="1773"/>
      <c r="I59" s="1773"/>
      <c r="J59" s="1773">
        <v>-143371.3</v>
      </c>
      <c r="K59" s="1773"/>
      <c r="L59" s="1773"/>
      <c r="M59" s="1773"/>
      <c r="N59" s="1773"/>
      <c r="O59" s="1773"/>
      <c r="P59" s="1773"/>
    </row>
    <row r="60" spans="2:16" ht="15">
      <c r="B60" s="1741" t="s">
        <v>3789</v>
      </c>
      <c r="C60" s="1773" t="s">
        <v>3790</v>
      </c>
      <c r="D60" s="1773"/>
      <c r="E60" s="1773"/>
      <c r="F60" s="1773"/>
      <c r="G60" s="1773"/>
      <c r="H60" s="1773"/>
      <c r="I60" s="1773"/>
      <c r="J60" s="1773">
        <v>113738.14</v>
      </c>
      <c r="K60" s="1773"/>
      <c r="L60" s="1773"/>
      <c r="M60" s="1773"/>
      <c r="N60" s="1773"/>
      <c r="O60" s="1773"/>
      <c r="P60" s="1773"/>
    </row>
    <row r="61" spans="2:16" ht="15">
      <c r="B61" s="1741"/>
      <c r="C61" s="1773"/>
      <c r="D61" s="1773"/>
      <c r="E61" s="1773"/>
      <c r="F61" s="1773"/>
      <c r="G61" s="1773"/>
      <c r="H61" s="1773"/>
      <c r="I61" s="1773"/>
      <c r="J61" s="1773"/>
      <c r="K61" s="1773"/>
      <c r="L61" s="1773"/>
      <c r="M61" s="1773"/>
      <c r="N61" s="1773"/>
      <c r="O61" s="1773"/>
      <c r="P61" s="1773"/>
    </row>
    <row r="62" spans="2:16" ht="15">
      <c r="B62" s="1741"/>
      <c r="C62" s="1773"/>
      <c r="D62" s="1773"/>
      <c r="E62" s="1773"/>
      <c r="F62" s="1773"/>
      <c r="G62" s="1773"/>
      <c r="H62" s="1773"/>
      <c r="I62" s="1773"/>
      <c r="J62" s="1773"/>
      <c r="K62" s="1773"/>
      <c r="L62" s="1773"/>
      <c r="M62" s="1773"/>
      <c r="N62" s="1773"/>
      <c r="O62" s="1773"/>
      <c r="P62" s="1773"/>
    </row>
    <row r="63" spans="2:16" ht="15">
      <c r="B63" s="1741"/>
      <c r="C63" s="1773"/>
      <c r="D63" s="1773"/>
      <c r="E63" s="1773"/>
      <c r="F63" s="1773"/>
      <c r="G63" s="1773"/>
      <c r="H63" s="1773"/>
      <c r="I63" s="1773"/>
      <c r="J63" s="1773"/>
      <c r="K63" s="1773"/>
      <c r="L63" s="1773"/>
      <c r="M63" s="1773"/>
      <c r="N63" s="1773"/>
      <c r="O63" s="1773"/>
      <c r="P63" s="1773"/>
    </row>
    <row r="64" spans="2:16" ht="17.25">
      <c r="B64" s="1341" t="s">
        <v>3708</v>
      </c>
      <c r="C64" s="1773"/>
      <c r="D64" s="1773"/>
      <c r="E64" s="1773"/>
      <c r="F64" s="1773"/>
      <c r="G64" s="1773"/>
      <c r="H64" s="1773"/>
      <c r="I64" s="1773"/>
      <c r="J64" s="1773"/>
      <c r="K64" s="1341" t="s">
        <v>3602</v>
      </c>
      <c r="L64" s="1785"/>
      <c r="M64" s="1785"/>
      <c r="N64" s="1785"/>
      <c r="O64" s="1956" t="s">
        <v>3510</v>
      </c>
      <c r="P64" s="1956"/>
    </row>
  </sheetData>
  <mergeCells count="2">
    <mergeCell ref="B3:P3"/>
    <mergeCell ref="O64:P64"/>
  </mergeCells>
  <printOptions horizontalCentered="1"/>
  <pageMargins left="0" right="0" top="0.984251968503937" bottom="0.5905511811023623" header="0.5118110236220472" footer="0.31496062992125984"/>
  <pageSetup fitToHeight="1" fitToWidth="1" horizontalDpi="600" verticalDpi="600" orientation="landscape" paperSize="9" scale="46" r:id="rId1"/>
  <headerFooter alignWithMargins="0">
    <oddFooter>&amp;C&amp;P+146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workbookViewId="0" topLeftCell="L38">
      <selection activeCell="A1" sqref="A1:Y45"/>
    </sheetView>
  </sheetViews>
  <sheetFormatPr defaultColWidth="9.00390625" defaultRowHeight="12.75"/>
  <cols>
    <col min="1" max="1" width="4.625" style="9" customWidth="1"/>
    <col min="2" max="2" width="4.375" style="17" customWidth="1"/>
    <col min="3" max="3" width="10.00390625" style="17" customWidth="1"/>
    <col min="4" max="4" width="8.125" style="17" customWidth="1"/>
    <col min="5" max="5" width="10.50390625" style="17" customWidth="1"/>
    <col min="6" max="6" width="9.375" style="17" customWidth="1"/>
    <col min="7" max="7" width="4.00390625" style="17" customWidth="1"/>
    <col min="8" max="8" width="7.125" style="17" customWidth="1"/>
    <col min="9" max="9" width="5.625" style="17" customWidth="1"/>
    <col min="10" max="10" width="13.375" style="0" customWidth="1"/>
    <col min="11" max="11" width="13.875" style="17" customWidth="1"/>
    <col min="12" max="12" width="3.875" style="13" customWidth="1"/>
    <col min="13" max="13" width="12.625" style="17" customWidth="1"/>
    <col min="14" max="14" width="13.125" style="17" customWidth="1"/>
    <col min="15" max="15" width="6.125" style="17" customWidth="1"/>
    <col min="16" max="16" width="5.50390625" style="17" customWidth="1"/>
    <col min="17" max="17" width="8.375" style="17" customWidth="1"/>
    <col min="18" max="18" width="11.125" style="17" customWidth="1"/>
    <col min="19" max="19" width="9.125" style="17" customWidth="1"/>
    <col min="20" max="20" width="5.50390625" style="17" customWidth="1"/>
    <col min="21" max="21" width="8.375" style="17" customWidth="1"/>
    <col min="22" max="22" width="7.50390625" style="17" customWidth="1"/>
    <col min="23" max="23" width="8.50390625" style="17" customWidth="1"/>
    <col min="24" max="24" width="8.125" style="17" customWidth="1"/>
    <col min="25" max="25" width="3.50390625" style="17" customWidth="1"/>
    <col min="26" max="16384" width="9.125" style="17" customWidth="1"/>
  </cols>
  <sheetData>
    <row r="1" spans="1:25" s="6" customFormat="1" ht="26.25" customHeight="1">
      <c r="A1" s="1"/>
      <c r="B1" s="2" t="s">
        <v>2483</v>
      </c>
      <c r="C1" s="3"/>
      <c r="D1" s="4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6" customFormat="1" ht="24" customHeight="1">
      <c r="A2" s="1"/>
      <c r="B2" s="2" t="s">
        <v>2573</v>
      </c>
      <c r="C2" s="3"/>
      <c r="D2" s="4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4" customHeight="1">
      <c r="A3" s="1"/>
      <c r="B3" s="7" t="s">
        <v>3738</v>
      </c>
      <c r="C3" s="3"/>
      <c r="D3" s="4"/>
      <c r="E3" s="3"/>
      <c r="F3" s="3"/>
      <c r="G3" s="3"/>
      <c r="H3" s="3"/>
      <c r="I3" s="3"/>
      <c r="J3" s="4"/>
      <c r="K3" s="3"/>
      <c r="L3" s="5"/>
      <c r="M3" s="3"/>
      <c r="N3" s="3"/>
      <c r="O3" s="3"/>
      <c r="P3" s="8"/>
      <c r="Q3" s="3"/>
      <c r="R3" s="3"/>
      <c r="S3" s="3"/>
      <c r="T3" s="3"/>
      <c r="U3" s="3"/>
      <c r="V3" s="3"/>
      <c r="W3" s="3"/>
      <c r="X3" s="3"/>
      <c r="Y3" s="3"/>
    </row>
    <row r="4" spans="1:23" s="10" customFormat="1" ht="9.75" customHeight="1" thickBot="1">
      <c r="A4" s="9"/>
      <c r="D4" s="11"/>
      <c r="E4" s="12"/>
      <c r="F4" s="12"/>
      <c r="G4" s="12"/>
      <c r="H4" s="12"/>
      <c r="I4" s="12"/>
      <c r="J4"/>
      <c r="K4" s="12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4" customFormat="1" ht="28.5" customHeight="1" hidden="1">
      <c r="A5" s="9"/>
      <c r="D5" s="15"/>
      <c r="E5" s="16"/>
      <c r="F5" s="16"/>
      <c r="G5" s="16"/>
      <c r="H5" s="16"/>
      <c r="I5" s="16"/>
      <c r="J5"/>
      <c r="K5" s="16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7:21" ht="25.5" customHeight="1">
      <c r="G6"/>
      <c r="H6"/>
      <c r="I6"/>
      <c r="K6" s="18" t="s">
        <v>2484</v>
      </c>
      <c r="L6" s="19"/>
      <c r="M6" s="19"/>
      <c r="N6" s="19"/>
      <c r="O6" s="19"/>
      <c r="P6" s="19"/>
      <c r="Q6" s="20"/>
      <c r="R6"/>
      <c r="S6"/>
      <c r="T6"/>
      <c r="U6"/>
    </row>
    <row r="7" spans="7:21" ht="26.25" customHeight="1" thickBot="1">
      <c r="G7"/>
      <c r="H7"/>
      <c r="I7"/>
      <c r="K7" s="21" t="s">
        <v>2485</v>
      </c>
      <c r="L7" s="22"/>
      <c r="M7" s="22"/>
      <c r="N7" s="22"/>
      <c r="O7" s="22"/>
      <c r="P7" s="22"/>
      <c r="Q7" s="23"/>
      <c r="R7"/>
      <c r="S7"/>
      <c r="T7"/>
      <c r="U7"/>
    </row>
    <row r="8" spans="4:22" ht="15.75" customHeight="1" thickBot="1">
      <c r="D8" s="24"/>
      <c r="E8" s="25"/>
      <c r="F8" s="25"/>
      <c r="G8" s="25"/>
      <c r="H8" s="25"/>
      <c r="I8" s="25"/>
      <c r="J8" s="25"/>
      <c r="K8" s="26"/>
      <c r="L8" s="25"/>
      <c r="M8" s="27"/>
      <c r="N8" s="28"/>
      <c r="O8" s="28"/>
      <c r="P8" s="28"/>
      <c r="Q8" s="28"/>
      <c r="R8" s="25"/>
      <c r="S8" s="28"/>
      <c r="T8" s="25"/>
      <c r="U8" s="25"/>
      <c r="V8" s="28"/>
    </row>
    <row r="9" spans="1:22" ht="17.25" customHeight="1" thickBot="1">
      <c r="A9" s="29"/>
      <c r="B9" s="30"/>
      <c r="C9" s="31"/>
      <c r="D9" s="32"/>
      <c r="E9" s="33"/>
      <c r="F9" s="33"/>
      <c r="G9" s="33"/>
      <c r="H9" s="33"/>
      <c r="I9" s="33"/>
      <c r="J9" s="34"/>
      <c r="K9" s="33"/>
      <c r="L9" s="30"/>
      <c r="M9" s="34"/>
      <c r="N9" s="33"/>
      <c r="O9" s="35"/>
      <c r="P9" s="35"/>
      <c r="Q9" s="36"/>
      <c r="R9" s="35"/>
      <c r="S9"/>
      <c r="T9"/>
      <c r="U9"/>
      <c r="V9" s="37"/>
    </row>
    <row r="10" spans="1:24" s="54" customFormat="1" ht="26.25" customHeight="1">
      <c r="A10" s="29"/>
      <c r="B10" s="30"/>
      <c r="C10" s="38" t="s">
        <v>2486</v>
      </c>
      <c r="D10" s="39"/>
      <c r="E10" s="39"/>
      <c r="F10" s="40"/>
      <c r="G10" s="41" t="s">
        <v>2487</v>
      </c>
      <c r="H10" s="42"/>
      <c r="I10" s="42"/>
      <c r="J10" s="43" t="s">
        <v>2488</v>
      </c>
      <c r="K10" s="44"/>
      <c r="L10" s="30"/>
      <c r="M10" s="45" t="s">
        <v>2488</v>
      </c>
      <c r="N10" s="46"/>
      <c r="O10"/>
      <c r="P10" s="47" t="s">
        <v>2489</v>
      </c>
      <c r="Q10" s="48"/>
      <c r="R10" s="48"/>
      <c r="S10" s="49"/>
      <c r="T10" s="50"/>
      <c r="U10" s="51" t="s">
        <v>2490</v>
      </c>
      <c r="V10" s="52"/>
      <c r="W10" s="52"/>
      <c r="X10" s="53"/>
    </row>
    <row r="11" spans="1:24" ht="21" customHeight="1" thickBot="1">
      <c r="A11" s="29"/>
      <c r="B11" s="55"/>
      <c r="C11" s="56" t="s">
        <v>2491</v>
      </c>
      <c r="D11" s="57"/>
      <c r="E11" s="57"/>
      <c r="F11" s="58"/>
      <c r="G11" s="59"/>
      <c r="H11" s="42"/>
      <c r="I11" s="42"/>
      <c r="J11" s="60" t="s">
        <v>2492</v>
      </c>
      <c r="K11" s="61"/>
      <c r="L11" s="30"/>
      <c r="M11" s="62" t="s">
        <v>2493</v>
      </c>
      <c r="N11" s="63"/>
      <c r="O11"/>
      <c r="P11" s="64" t="s">
        <v>2494</v>
      </c>
      <c r="Q11" s="65"/>
      <c r="R11" s="65"/>
      <c r="S11" s="66"/>
      <c r="T11"/>
      <c r="U11" s="67" t="s">
        <v>2495</v>
      </c>
      <c r="V11" s="68"/>
      <c r="W11" s="68"/>
      <c r="X11" s="69"/>
    </row>
    <row r="12" spans="1:25" ht="35.25" customHeight="1" thickBot="1">
      <c r="A12" s="70"/>
      <c r="B12" s="71" t="s">
        <v>2496</v>
      </c>
      <c r="C12" s="72"/>
      <c r="D12" s="73"/>
      <c r="E12" s="72"/>
      <c r="F12" s="72"/>
      <c r="G12" s="74"/>
      <c r="H12" s="75" t="s">
        <v>2497</v>
      </c>
      <c r="I12" s="75"/>
      <c r="J12" s="76"/>
      <c r="K12" s="77"/>
      <c r="L12" s="30"/>
      <c r="M12" s="78"/>
      <c r="N12" s="30"/>
      <c r="O12"/>
      <c r="P12"/>
      <c r="Q12" s="37"/>
      <c r="R12"/>
      <c r="S12"/>
      <c r="T12"/>
      <c r="U12"/>
      <c r="V12" s="37"/>
      <c r="W12"/>
      <c r="X12"/>
      <c r="Y12"/>
    </row>
    <row r="13" spans="1:25" ht="50.25" customHeight="1" thickBot="1">
      <c r="A13" s="70" t="s">
        <v>2498</v>
      </c>
      <c r="B13" s="79"/>
      <c r="C13" s="1957" t="s">
        <v>2499</v>
      </c>
      <c r="D13" s="1958"/>
      <c r="E13" s="1958"/>
      <c r="F13" s="1959"/>
      <c r="G13" s="80"/>
      <c r="H13" s="42"/>
      <c r="I13" s="42"/>
      <c r="J13" s="81" t="s">
        <v>3745</v>
      </c>
      <c r="K13" s="82"/>
      <c r="L13" s="30"/>
      <c r="M13" s="83" t="s">
        <v>2500</v>
      </c>
      <c r="N13" s="84"/>
      <c r="O13"/>
      <c r="P13"/>
      <c r="Q13" s="37"/>
      <c r="R13"/>
      <c r="S13"/>
      <c r="T13"/>
      <c r="U13"/>
      <c r="V13" s="37"/>
      <c r="W13"/>
      <c r="X13"/>
      <c r="Y13"/>
    </row>
    <row r="14" spans="1:25" ht="18.75" customHeight="1" thickBot="1">
      <c r="A14" s="70"/>
      <c r="B14" s="79"/>
      <c r="C14" s="85" t="s">
        <v>2501</v>
      </c>
      <c r="D14" s="86"/>
      <c r="E14" s="86"/>
      <c r="F14" s="87"/>
      <c r="G14" s="80"/>
      <c r="H14" s="42"/>
      <c r="I14" s="42"/>
      <c r="J14" s="76"/>
      <c r="K14" s="77"/>
      <c r="L14" s="30"/>
      <c r="M14" s="78"/>
      <c r="N14" s="30"/>
      <c r="O14"/>
      <c r="P14" s="88" t="s">
        <v>2502</v>
      </c>
      <c r="Q14" s="89"/>
      <c r="R14" s="89"/>
      <c r="S14" s="90"/>
      <c r="T14" s="50"/>
      <c r="U14" s="50"/>
      <c r="V14" s="91"/>
      <c r="W14" s="50"/>
      <c r="X14" s="50"/>
      <c r="Y14" s="50"/>
    </row>
    <row r="15" spans="1:25" ht="36" customHeight="1" thickBot="1">
      <c r="A15" s="70" t="s">
        <v>2503</v>
      </c>
      <c r="B15" s="79"/>
      <c r="C15" s="92" t="s">
        <v>2504</v>
      </c>
      <c r="D15" s="93"/>
      <c r="E15" s="93"/>
      <c r="F15" s="94"/>
      <c r="G15" s="80"/>
      <c r="H15" s="30"/>
      <c r="I15" s="30"/>
      <c r="J15" s="81" t="s">
        <v>2505</v>
      </c>
      <c r="K15" s="82"/>
      <c r="L15" s="30"/>
      <c r="M15" s="83" t="s">
        <v>2506</v>
      </c>
      <c r="N15" s="84"/>
      <c r="O15"/>
      <c r="P15" s="95"/>
      <c r="Q15" s="96"/>
      <c r="R15" s="95"/>
      <c r="S15" s="95"/>
      <c r="T15" s="50"/>
      <c r="U15" s="50"/>
      <c r="V15" s="91"/>
      <c r="W15" s="50"/>
      <c r="X15" s="50"/>
      <c r="Y15" s="50"/>
    </row>
    <row r="16" spans="1:25" ht="17.25" customHeight="1" thickBot="1">
      <c r="A16" s="70"/>
      <c r="B16" s="79"/>
      <c r="C16" s="97"/>
      <c r="D16" s="98"/>
      <c r="E16" s="97"/>
      <c r="F16" s="97"/>
      <c r="G16" s="80"/>
      <c r="H16" s="30"/>
      <c r="I16" s="30"/>
      <c r="J16" s="76"/>
      <c r="K16" s="77"/>
      <c r="L16" s="30"/>
      <c r="M16" s="78"/>
      <c r="N16" s="30"/>
      <c r="O16"/>
      <c r="P16" s="99" t="s">
        <v>2507</v>
      </c>
      <c r="Q16" s="100"/>
      <c r="R16" s="100"/>
      <c r="S16" s="101"/>
      <c r="T16" s="50"/>
      <c r="U16" s="50"/>
      <c r="V16" s="91"/>
      <c r="W16" s="50"/>
      <c r="X16" s="50"/>
      <c r="Y16" s="50"/>
    </row>
    <row r="17" spans="1:25" ht="33.75" customHeight="1" thickBot="1">
      <c r="A17" s="29" t="s">
        <v>2508</v>
      </c>
      <c r="B17" s="79"/>
      <c r="C17" s="102"/>
      <c r="D17" s="103"/>
      <c r="E17" s="104"/>
      <c r="F17" s="104"/>
      <c r="G17" s="80"/>
      <c r="H17" s="30"/>
      <c r="I17" s="30"/>
      <c r="J17" s="1960" t="s">
        <v>2509</v>
      </c>
      <c r="K17" s="1961"/>
      <c r="L17" s="30"/>
      <c r="M17" s="83" t="s">
        <v>2510</v>
      </c>
      <c r="N17" s="84"/>
      <c r="O17"/>
      <c r="P17" s="105"/>
      <c r="Q17" s="106"/>
      <c r="R17" s="105"/>
      <c r="S17" s="105"/>
      <c r="T17" s="50"/>
      <c r="U17" s="50"/>
      <c r="V17" s="91"/>
      <c r="W17" s="50"/>
      <c r="X17" s="50"/>
      <c r="Y17" s="50"/>
    </row>
    <row r="18" spans="1:25" ht="15.75" customHeight="1" thickBot="1">
      <c r="A18" s="70"/>
      <c r="B18" s="79"/>
      <c r="C18" s="107" t="s">
        <v>2511</v>
      </c>
      <c r="D18" s="108"/>
      <c r="E18" s="108"/>
      <c r="F18" s="109"/>
      <c r="G18" s="80"/>
      <c r="H18" s="42"/>
      <c r="I18" s="42"/>
      <c r="J18" s="76"/>
      <c r="K18" s="77"/>
      <c r="L18" s="30"/>
      <c r="M18" s="78"/>
      <c r="N18" s="30"/>
      <c r="O18"/>
      <c r="P18" s="99" t="s">
        <v>2512</v>
      </c>
      <c r="Q18" s="100"/>
      <c r="R18" s="100"/>
      <c r="S18" s="101"/>
      <c r="T18" s="50"/>
      <c r="U18" s="50"/>
      <c r="V18" s="91"/>
      <c r="W18" s="50"/>
      <c r="X18" s="50"/>
      <c r="Y18" s="50"/>
    </row>
    <row r="19" spans="1:25" ht="33" customHeight="1" thickBot="1">
      <c r="A19" s="70" t="s">
        <v>2503</v>
      </c>
      <c r="B19" s="79"/>
      <c r="C19" s="85" t="s">
        <v>2501</v>
      </c>
      <c r="D19" s="86"/>
      <c r="E19" s="86"/>
      <c r="F19" s="87"/>
      <c r="G19" s="80"/>
      <c r="H19" s="42"/>
      <c r="I19" s="42"/>
      <c r="J19" s="81" t="s">
        <v>2513</v>
      </c>
      <c r="K19" s="82"/>
      <c r="L19" s="30"/>
      <c r="M19" s="83" t="s">
        <v>2514</v>
      </c>
      <c r="N19" s="84"/>
      <c r="O19"/>
      <c r="P19" s="95"/>
      <c r="Q19" s="96"/>
      <c r="R19" s="95"/>
      <c r="S19" s="95"/>
      <c r="T19" s="50"/>
      <c r="U19" s="50"/>
      <c r="V19" s="91"/>
      <c r="W19" s="50"/>
      <c r="X19" s="50"/>
      <c r="Y19" s="50"/>
    </row>
    <row r="20" spans="1:25" ht="19.5" customHeight="1" thickBot="1">
      <c r="A20" s="70"/>
      <c r="B20" s="79"/>
      <c r="C20" s="92" t="s">
        <v>2515</v>
      </c>
      <c r="D20" s="110"/>
      <c r="E20" s="110"/>
      <c r="F20" s="111"/>
      <c r="G20" s="80"/>
      <c r="H20" s="42"/>
      <c r="I20" s="42"/>
      <c r="J20" s="76"/>
      <c r="K20" s="77"/>
      <c r="L20" s="30"/>
      <c r="M20" s="78"/>
      <c r="N20" s="30"/>
      <c r="O20"/>
      <c r="P20" s="99" t="s">
        <v>2516</v>
      </c>
      <c r="Q20" s="100"/>
      <c r="R20" s="100"/>
      <c r="S20" s="101"/>
      <c r="T20" s="50"/>
      <c r="U20" s="50"/>
      <c r="V20" s="91"/>
      <c r="W20" s="50"/>
      <c r="X20" s="50"/>
      <c r="Y20" s="50"/>
    </row>
    <row r="21" spans="1:25" ht="33.75" customHeight="1" thickBot="1">
      <c r="A21" s="70" t="s">
        <v>2517</v>
      </c>
      <c r="B21" s="79"/>
      <c r="C21" s="112"/>
      <c r="D21" s="113"/>
      <c r="E21" s="112"/>
      <c r="F21" s="112"/>
      <c r="G21" s="114"/>
      <c r="H21" s="115"/>
      <c r="I21" s="115"/>
      <c r="J21" s="81" t="s">
        <v>2518</v>
      </c>
      <c r="K21" s="82"/>
      <c r="L21" s="30"/>
      <c r="M21" s="83" t="s">
        <v>2519</v>
      </c>
      <c r="N21" s="84"/>
      <c r="O21"/>
      <c r="P21" s="105"/>
      <c r="Q21" s="106"/>
      <c r="R21" s="105"/>
      <c r="S21" s="105"/>
      <c r="T21" s="50"/>
      <c r="U21" s="50"/>
      <c r="V21" s="91"/>
      <c r="W21" s="50"/>
      <c r="X21" s="50"/>
      <c r="Y21" s="50"/>
    </row>
    <row r="22" spans="1:25" ht="15.75" customHeight="1" thickBot="1">
      <c r="A22" s="70"/>
      <c r="B22" s="79"/>
      <c r="C22" s="116"/>
      <c r="D22" s="117"/>
      <c r="E22" s="116"/>
      <c r="F22" s="116"/>
      <c r="G22" s="114"/>
      <c r="H22" s="118"/>
      <c r="I22" s="30"/>
      <c r="J22" s="76"/>
      <c r="K22" s="77"/>
      <c r="L22" s="30"/>
      <c r="M22" s="78"/>
      <c r="N22" s="30"/>
      <c r="O22"/>
      <c r="P22" s="99" t="s">
        <v>2520</v>
      </c>
      <c r="Q22" s="100"/>
      <c r="R22" s="100"/>
      <c r="S22" s="101"/>
      <c r="T22" s="50"/>
      <c r="U22" s="50"/>
      <c r="V22" s="91"/>
      <c r="W22" s="50"/>
      <c r="X22" s="50"/>
      <c r="Y22" s="50"/>
    </row>
    <row r="23" spans="1:25" ht="33" customHeight="1" thickBot="1">
      <c r="A23" s="70" t="s">
        <v>2521</v>
      </c>
      <c r="B23" s="119"/>
      <c r="C23" s="120" t="s">
        <v>2522</v>
      </c>
      <c r="D23" s="121"/>
      <c r="E23" s="122"/>
      <c r="F23" s="123"/>
      <c r="G23" s="124"/>
      <c r="H23" s="125"/>
      <c r="I23" s="30"/>
      <c r="J23" s="81" t="s">
        <v>2523</v>
      </c>
      <c r="K23" s="82"/>
      <c r="L23" s="30"/>
      <c r="M23" s="83" t="s">
        <v>2524</v>
      </c>
      <c r="N23" s="84"/>
      <c r="O23"/>
      <c r="P23" s="126"/>
      <c r="Q23" s="96"/>
      <c r="R23" s="126"/>
      <c r="S23" s="126"/>
      <c r="T23" s="50"/>
      <c r="U23" s="50"/>
      <c r="V23" s="91"/>
      <c r="W23" s="50"/>
      <c r="X23" s="50"/>
      <c r="Y23" s="50"/>
    </row>
    <row r="24" spans="1:25" ht="15" customHeight="1" thickBot="1">
      <c r="A24" s="70"/>
      <c r="B24" s="119"/>
      <c r="C24" s="127"/>
      <c r="D24" s="128"/>
      <c r="E24" s="129"/>
      <c r="F24" s="130"/>
      <c r="G24" s="124"/>
      <c r="H24" s="131"/>
      <c r="I24" s="30"/>
      <c r="J24" s="77"/>
      <c r="K24" s="77"/>
      <c r="L24" s="30"/>
      <c r="M24" s="78"/>
      <c r="N24" s="30"/>
      <c r="O24"/>
      <c r="P24" s="99" t="s">
        <v>2525</v>
      </c>
      <c r="Q24" s="100"/>
      <c r="R24" s="100"/>
      <c r="S24" s="101"/>
      <c r="T24" s="50"/>
      <c r="U24" s="50"/>
      <c r="V24" s="91"/>
      <c r="W24" s="50"/>
      <c r="X24" s="50"/>
      <c r="Y24" s="50"/>
    </row>
    <row r="25" spans="1:25" ht="33.75" customHeight="1" thickBot="1">
      <c r="A25" s="70"/>
      <c r="B25" s="119"/>
      <c r="C25" s="132" t="s">
        <v>2526</v>
      </c>
      <c r="D25" s="121"/>
      <c r="E25" s="122"/>
      <c r="F25" s="123"/>
      <c r="G25" s="124"/>
      <c r="H25" s="131"/>
      <c r="I25" s="30"/>
      <c r="J25" s="81" t="s">
        <v>2527</v>
      </c>
      <c r="K25" s="82"/>
      <c r="L25" s="30"/>
      <c r="M25" s="83" t="s">
        <v>2528</v>
      </c>
      <c r="N25" s="84"/>
      <c r="O25"/>
      <c r="P25" s="133"/>
      <c r="Q25" s="134"/>
      <c r="R25" s="133"/>
      <c r="S25" s="133"/>
      <c r="T25" s="50"/>
      <c r="U25" s="50"/>
      <c r="V25" s="91"/>
      <c r="W25" s="50"/>
      <c r="X25" s="50"/>
      <c r="Y25" s="135"/>
    </row>
    <row r="26" spans="1:25" ht="17.25" customHeight="1" thickBot="1">
      <c r="A26" s="70"/>
      <c r="B26" s="119"/>
      <c r="C26" s="136"/>
      <c r="D26" s="128"/>
      <c r="E26" s="129"/>
      <c r="F26" s="129"/>
      <c r="G26" s="124"/>
      <c r="H26" s="137" t="s">
        <v>2498</v>
      </c>
      <c r="I26" s="30"/>
      <c r="J26" s="77"/>
      <c r="K26" s="77"/>
      <c r="L26" s="30"/>
      <c r="M26" s="78"/>
      <c r="N26" s="30"/>
      <c r="O26"/>
      <c r="P26" s="138" t="s">
        <v>2529</v>
      </c>
      <c r="Q26" s="139"/>
      <c r="R26" s="139"/>
      <c r="S26" s="140"/>
      <c r="T26" s="50"/>
      <c r="U26" s="141" t="s">
        <v>2530</v>
      </c>
      <c r="V26" s="142"/>
      <c r="W26" s="142"/>
      <c r="X26" s="143"/>
      <c r="Y26" s="144" t="s">
        <v>2531</v>
      </c>
    </row>
    <row r="27" spans="1:25" ht="20.25" customHeight="1" thickBot="1">
      <c r="A27" s="70" t="s">
        <v>2498</v>
      </c>
      <c r="B27" s="119"/>
      <c r="C27" s="132" t="s">
        <v>2532</v>
      </c>
      <c r="D27" s="121"/>
      <c r="E27" s="122"/>
      <c r="F27" s="123"/>
      <c r="G27" s="124"/>
      <c r="H27" s="145" t="s">
        <v>2533</v>
      </c>
      <c r="I27" s="30"/>
      <c r="J27" s="81" t="s">
        <v>2534</v>
      </c>
      <c r="K27" s="82"/>
      <c r="L27" s="30"/>
      <c r="M27" s="83" t="s">
        <v>2535</v>
      </c>
      <c r="N27" s="84"/>
      <c r="O27"/>
      <c r="P27" s="133"/>
      <c r="Q27" s="134"/>
      <c r="R27" s="133"/>
      <c r="S27" s="133"/>
      <c r="T27" s="50"/>
      <c r="U27" s="146"/>
      <c r="V27" s="134"/>
      <c r="W27" s="133"/>
      <c r="X27" s="133"/>
      <c r="Y27" s="144"/>
    </row>
    <row r="28" spans="1:25" ht="17.25" customHeight="1" thickBot="1">
      <c r="A28" s="70"/>
      <c r="B28" s="119"/>
      <c r="C28" s="136"/>
      <c r="D28" s="128"/>
      <c r="E28" s="129"/>
      <c r="F28" s="129"/>
      <c r="G28" s="124"/>
      <c r="H28" s="137" t="s">
        <v>2536</v>
      </c>
      <c r="I28" s="30"/>
      <c r="J28" s="30"/>
      <c r="K28" s="30"/>
      <c r="L28" s="30"/>
      <c r="M28" s="78"/>
      <c r="N28" s="30"/>
      <c r="O28"/>
      <c r="P28" s="147" t="s">
        <v>2537</v>
      </c>
      <c r="Q28" s="148"/>
      <c r="R28" s="148"/>
      <c r="S28" s="149"/>
      <c r="T28" s="50"/>
      <c r="U28" s="141" t="s">
        <v>2538</v>
      </c>
      <c r="V28" s="142"/>
      <c r="W28" s="142"/>
      <c r="X28" s="143"/>
      <c r="Y28" s="144" t="s">
        <v>2539</v>
      </c>
    </row>
    <row r="29" spans="1:25" ht="24.75" customHeight="1" thickBot="1">
      <c r="A29" s="70" t="s">
        <v>2540</v>
      </c>
      <c r="B29" s="119"/>
      <c r="C29" s="132" t="s">
        <v>2541</v>
      </c>
      <c r="D29" s="150"/>
      <c r="E29" s="122"/>
      <c r="F29" s="151"/>
      <c r="G29" s="124"/>
      <c r="H29" s="137" t="s">
        <v>2542</v>
      </c>
      <c r="I29" s="30"/>
      <c r="J29" s="30"/>
      <c r="K29" s="30"/>
      <c r="L29" s="30"/>
      <c r="M29" s="152" t="s">
        <v>2543</v>
      </c>
      <c r="N29" s="84"/>
      <c r="O29"/>
      <c r="P29" s="153"/>
      <c r="Q29" s="154"/>
      <c r="R29" s="153"/>
      <c r="S29" s="153"/>
      <c r="T29" s="50"/>
      <c r="U29" s="155"/>
      <c r="V29" s="134"/>
      <c r="W29" s="133"/>
      <c r="X29" s="133"/>
      <c r="Y29" s="144"/>
    </row>
    <row r="30" spans="1:25" ht="16.5" customHeight="1" thickBot="1">
      <c r="A30" s="70"/>
      <c r="B30" s="119"/>
      <c r="C30" s="136"/>
      <c r="D30" s="128"/>
      <c r="E30" s="129"/>
      <c r="F30" s="129"/>
      <c r="G30" s="124"/>
      <c r="H30" s="137" t="s">
        <v>2544</v>
      </c>
      <c r="I30" s="30"/>
      <c r="J30" s="30"/>
      <c r="K30" s="30"/>
      <c r="L30" s="30"/>
      <c r="M30" s="78"/>
      <c r="N30" s="30"/>
      <c r="O30"/>
      <c r="P30" s="156" t="s">
        <v>2545</v>
      </c>
      <c r="Q30" s="148"/>
      <c r="R30" s="148"/>
      <c r="S30" s="149"/>
      <c r="T30" s="50"/>
      <c r="U30" s="141" t="s">
        <v>2546</v>
      </c>
      <c r="V30" s="142"/>
      <c r="W30" s="142"/>
      <c r="X30" s="143"/>
      <c r="Y30" s="144" t="s">
        <v>2539</v>
      </c>
    </row>
    <row r="31" spans="1:25" ht="22.5" customHeight="1" thickBot="1">
      <c r="A31" s="70" t="s">
        <v>2547</v>
      </c>
      <c r="B31" s="119"/>
      <c r="C31" s="132" t="s">
        <v>2548</v>
      </c>
      <c r="D31" s="121"/>
      <c r="E31" s="122"/>
      <c r="F31" s="123"/>
      <c r="G31" s="124"/>
      <c r="H31" s="137" t="s">
        <v>2549</v>
      </c>
      <c r="I31" s="30"/>
      <c r="J31" s="30"/>
      <c r="K31" s="30"/>
      <c r="L31" s="30"/>
      <c r="M31" s="152" t="s">
        <v>2550</v>
      </c>
      <c r="N31" s="84"/>
      <c r="O31"/>
      <c r="P31" s="153"/>
      <c r="Q31" s="154"/>
      <c r="R31" s="153"/>
      <c r="S31" s="153"/>
      <c r="T31" s="50"/>
      <c r="U31" s="146"/>
      <c r="V31" s="134"/>
      <c r="W31" s="133"/>
      <c r="X31" s="133"/>
      <c r="Y31" s="144"/>
    </row>
    <row r="32" spans="1:25" ht="17.25" customHeight="1" thickBot="1">
      <c r="A32" s="70"/>
      <c r="B32" s="119"/>
      <c r="C32" s="136"/>
      <c r="D32" s="128"/>
      <c r="E32" s="129"/>
      <c r="F32" s="129"/>
      <c r="G32" s="124"/>
      <c r="H32" s="137"/>
      <c r="I32" s="30"/>
      <c r="J32" s="30"/>
      <c r="K32" s="30"/>
      <c r="L32" s="30"/>
      <c r="M32" s="157"/>
      <c r="N32" s="30"/>
      <c r="O32"/>
      <c r="P32" s="158" t="s">
        <v>2551</v>
      </c>
      <c r="Q32" s="148"/>
      <c r="R32" s="148"/>
      <c r="S32" s="149"/>
      <c r="T32" s="50"/>
      <c r="U32" s="141" t="s">
        <v>2552</v>
      </c>
      <c r="V32" s="142"/>
      <c r="W32" s="142"/>
      <c r="X32" s="143"/>
      <c r="Y32" s="144" t="s">
        <v>2539</v>
      </c>
    </row>
    <row r="33" spans="1:25" ht="24.75" customHeight="1" thickBot="1">
      <c r="A33" s="70" t="s">
        <v>2508</v>
      </c>
      <c r="B33" s="119"/>
      <c r="C33" s="132" t="s">
        <v>2553</v>
      </c>
      <c r="D33" s="121"/>
      <c r="E33" s="122"/>
      <c r="F33" s="123"/>
      <c r="G33" s="124"/>
      <c r="H33" s="137" t="s">
        <v>2540</v>
      </c>
      <c r="I33" s="30"/>
      <c r="J33" s="30"/>
      <c r="K33" s="30"/>
      <c r="L33" s="30"/>
      <c r="M33" s="152" t="s">
        <v>2554</v>
      </c>
      <c r="N33" s="84"/>
      <c r="O33"/>
      <c r="P33"/>
      <c r="Q33"/>
      <c r="R33"/>
      <c r="S33"/>
      <c r="T33"/>
      <c r="U33" s="159"/>
      <c r="V33" s="37"/>
      <c r="W33"/>
      <c r="X33"/>
      <c r="Y33"/>
    </row>
    <row r="34" spans="1:25" ht="16.5" customHeight="1" thickBot="1">
      <c r="A34" s="70"/>
      <c r="B34" s="119"/>
      <c r="C34" s="136"/>
      <c r="D34" s="128"/>
      <c r="E34" s="129"/>
      <c r="F34" s="129"/>
      <c r="G34" s="124"/>
      <c r="H34" s="137" t="s">
        <v>2536</v>
      </c>
      <c r="I34" s="30"/>
      <c r="J34" s="30"/>
      <c r="K34" s="30"/>
      <c r="L34" s="30"/>
      <c r="M34" s="157"/>
      <c r="N34" s="30"/>
      <c r="O34"/>
      <c r="P34"/>
      <c r="Q34"/>
      <c r="R34"/>
      <c r="S34"/>
      <c r="T34"/>
      <c r="U34" s="141" t="s">
        <v>2555</v>
      </c>
      <c r="V34" s="142"/>
      <c r="W34" s="142"/>
      <c r="X34" s="143"/>
      <c r="Y34" s="144" t="s">
        <v>2531</v>
      </c>
    </row>
    <row r="35" spans="1:26" ht="24.75" customHeight="1" thickBot="1">
      <c r="A35" s="70" t="s">
        <v>2556</v>
      </c>
      <c r="B35" s="119"/>
      <c r="C35" s="132" t="s">
        <v>2557</v>
      </c>
      <c r="D35" s="121"/>
      <c r="E35" s="122"/>
      <c r="F35" s="123"/>
      <c r="G35" s="124"/>
      <c r="H35" s="137" t="s">
        <v>2533</v>
      </c>
      <c r="I35" s="30"/>
      <c r="J35" s="30"/>
      <c r="K35" s="30"/>
      <c r="L35" s="30"/>
      <c r="M35" s="152" t="s">
        <v>2558</v>
      </c>
      <c r="N35" s="84"/>
      <c r="P35"/>
      <c r="Q35"/>
      <c r="R35"/>
      <c r="S35"/>
      <c r="T35"/>
      <c r="U35" s="160"/>
      <c r="V35"/>
      <c r="W35"/>
      <c r="X35"/>
      <c r="Y35"/>
      <c r="Z35"/>
    </row>
    <row r="36" spans="1:26" ht="16.5" customHeight="1" thickBot="1">
      <c r="A36" s="70"/>
      <c r="B36" s="119"/>
      <c r="C36" s="136"/>
      <c r="D36" s="128"/>
      <c r="E36" s="129"/>
      <c r="F36" s="129"/>
      <c r="G36" s="124"/>
      <c r="H36" s="137" t="s">
        <v>2559</v>
      </c>
      <c r="I36" s="30"/>
      <c r="J36" s="30"/>
      <c r="K36" s="30"/>
      <c r="L36" s="30"/>
      <c r="M36" s="157"/>
      <c r="N36" s="30"/>
      <c r="U36"/>
      <c r="V36"/>
      <c r="W36"/>
      <c r="X36"/>
      <c r="Y36"/>
      <c r="Z36"/>
    </row>
    <row r="37" spans="1:26" ht="24.75" customHeight="1" thickBot="1">
      <c r="A37" s="70" t="s">
        <v>2560</v>
      </c>
      <c r="B37" s="119"/>
      <c r="C37" s="132" t="s">
        <v>2561</v>
      </c>
      <c r="D37" s="121"/>
      <c r="E37" s="122"/>
      <c r="F37" s="123"/>
      <c r="G37" s="124"/>
      <c r="H37" s="137" t="s">
        <v>2562</v>
      </c>
      <c r="I37" s="30"/>
      <c r="J37" s="30"/>
      <c r="K37" s="30"/>
      <c r="L37" s="30"/>
      <c r="M37" s="152" t="s">
        <v>2563</v>
      </c>
      <c r="N37" s="84"/>
      <c r="O37"/>
      <c r="P37"/>
      <c r="U37"/>
      <c r="V37"/>
      <c r="W37"/>
      <c r="X37"/>
      <c r="Y37"/>
      <c r="Z37"/>
    </row>
    <row r="38" spans="1:26" ht="15" customHeight="1" thickBot="1">
      <c r="A38" s="70"/>
      <c r="B38" s="119"/>
      <c r="C38" s="136"/>
      <c r="D38" s="128"/>
      <c r="E38" s="129"/>
      <c r="F38" s="129"/>
      <c r="G38" s="124"/>
      <c r="H38" s="137" t="s">
        <v>2559</v>
      </c>
      <c r="I38" s="30"/>
      <c r="J38" s="30"/>
      <c r="K38" s="30"/>
      <c r="L38" s="30"/>
      <c r="M38" s="157"/>
      <c r="N38" s="30"/>
      <c r="O38"/>
      <c r="P38"/>
      <c r="U38"/>
      <c r="V38"/>
      <c r="W38"/>
      <c r="X38"/>
      <c r="Y38"/>
      <c r="Z38"/>
    </row>
    <row r="39" spans="1:26" ht="27" customHeight="1" thickBot="1">
      <c r="A39" s="70"/>
      <c r="B39" s="119"/>
      <c r="C39" s="132" t="s">
        <v>2564</v>
      </c>
      <c r="D39" s="121"/>
      <c r="E39" s="122"/>
      <c r="F39" s="123"/>
      <c r="G39" s="124"/>
      <c r="H39" s="137" t="s">
        <v>2565</v>
      </c>
      <c r="I39" s="30"/>
      <c r="J39" s="30"/>
      <c r="K39" s="30"/>
      <c r="L39" s="30"/>
      <c r="M39" s="152" t="s">
        <v>2566</v>
      </c>
      <c r="N39" s="84"/>
      <c r="O39"/>
      <c r="P39"/>
      <c r="R39"/>
      <c r="S39"/>
      <c r="T39"/>
      <c r="U39"/>
      <c r="V39"/>
      <c r="W39"/>
      <c r="X39"/>
      <c r="Y39"/>
      <c r="Z39"/>
    </row>
    <row r="40" spans="1:26" ht="17.25" customHeight="1" thickBot="1">
      <c r="A40" s="70"/>
      <c r="B40" s="119"/>
      <c r="C40" s="127"/>
      <c r="D40" s="128"/>
      <c r="E40" s="129"/>
      <c r="F40" s="129"/>
      <c r="G40" s="161"/>
      <c r="H40" s="137"/>
      <c r="I40" s="30"/>
      <c r="J40" s="30"/>
      <c r="K40" s="30"/>
      <c r="L40" s="30"/>
      <c r="M40" s="162"/>
      <c r="N40" s="30"/>
      <c r="O40"/>
      <c r="P40"/>
      <c r="R40"/>
      <c r="S40"/>
      <c r="T40"/>
      <c r="U40"/>
      <c r="V40"/>
      <c r="W40"/>
      <c r="X40"/>
      <c r="Y40"/>
      <c r="Z40"/>
    </row>
    <row r="41" spans="1:26" ht="17.25" customHeight="1" thickBot="1">
      <c r="A41" s="70"/>
      <c r="B41" s="163"/>
      <c r="C41" s="164" t="s">
        <v>2567</v>
      </c>
      <c r="D41" s="121"/>
      <c r="E41" s="122"/>
      <c r="F41" s="123"/>
      <c r="G41" s="165"/>
      <c r="H41" s="166"/>
      <c r="I41" s="30"/>
      <c r="J41" s="30"/>
      <c r="K41" s="30"/>
      <c r="L41" s="30"/>
      <c r="M41" s="162"/>
      <c r="N41" s="30"/>
      <c r="O41"/>
      <c r="P41"/>
      <c r="R41"/>
      <c r="S41"/>
      <c r="T41"/>
      <c r="U41"/>
      <c r="V41"/>
      <c r="W41"/>
      <c r="X41"/>
      <c r="Y41"/>
      <c r="Z41"/>
    </row>
    <row r="42" spans="1:26" ht="21" customHeight="1">
      <c r="A42" s="70"/>
      <c r="B42" s="30"/>
      <c r="C42" s="30"/>
      <c r="D42" s="167"/>
      <c r="E42" s="168"/>
      <c r="F42" s="168"/>
      <c r="G42" s="168"/>
      <c r="H42" s="168"/>
      <c r="I42" s="30"/>
      <c r="J42" s="30"/>
      <c r="K42" s="30"/>
      <c r="L42" s="30"/>
      <c r="M42" s="168"/>
      <c r="N42" s="168"/>
      <c r="O42" s="169"/>
      <c r="P42" s="169"/>
      <c r="Q42" s="169"/>
      <c r="R42" s="169"/>
      <c r="U42"/>
      <c r="V42"/>
      <c r="W42"/>
      <c r="X42"/>
      <c r="Y42"/>
      <c r="Z42"/>
    </row>
    <row r="43" spans="2:26" ht="15" customHeight="1">
      <c r="B43" s="170" t="s">
        <v>2568</v>
      </c>
      <c r="C43"/>
      <c r="D43"/>
      <c r="E43"/>
      <c r="F43" s="171"/>
      <c r="G43" s="172"/>
      <c r="H43" s="172"/>
      <c r="I43" s="172"/>
      <c r="K43"/>
      <c r="L43"/>
      <c r="M43" s="169"/>
      <c r="N43" s="169"/>
      <c r="O43" s="169"/>
      <c r="P43" s="169"/>
      <c r="Q43" s="169"/>
      <c r="R43"/>
      <c r="U43" s="173"/>
      <c r="V43"/>
      <c r="W43"/>
      <c r="X43"/>
      <c r="Y43"/>
      <c r="Z43"/>
    </row>
    <row r="44" spans="2:26" ht="18" customHeight="1">
      <c r="B44" s="174" t="s">
        <v>2569</v>
      </c>
      <c r="C44"/>
      <c r="D44"/>
      <c r="E44" s="169"/>
      <c r="F44" s="169"/>
      <c r="G44" s="169"/>
      <c r="H44" s="169"/>
      <c r="I44" s="174" t="s">
        <v>2570</v>
      </c>
      <c r="K44"/>
      <c r="L44"/>
      <c r="M44" s="169"/>
      <c r="N44" s="169"/>
      <c r="O44" s="169"/>
      <c r="P44" s="169"/>
      <c r="Q44" s="169"/>
      <c r="R44" s="169"/>
      <c r="W44"/>
      <c r="X44"/>
      <c r="Y44"/>
      <c r="Z44"/>
    </row>
    <row r="45" spans="1:26" ht="15.75" customHeight="1">
      <c r="A45" s="175"/>
      <c r="B45" s="174" t="s">
        <v>2571</v>
      </c>
      <c r="C45"/>
      <c r="D45"/>
      <c r="E45" s="169"/>
      <c r="F45" s="169"/>
      <c r="G45" s="169"/>
      <c r="H45" s="169"/>
      <c r="I45" s="174" t="s">
        <v>2572</v>
      </c>
      <c r="K45" s="174"/>
      <c r="L45" s="176"/>
      <c r="M45" s="169"/>
      <c r="N45" s="169"/>
      <c r="O45" s="169"/>
      <c r="P45" s="169"/>
      <c r="Q45" s="169"/>
      <c r="R45" s="169"/>
      <c r="W45"/>
      <c r="X45"/>
      <c r="Y45"/>
      <c r="Z45"/>
    </row>
    <row r="46" spans="2:26" ht="22.5">
      <c r="B46"/>
      <c r="C46"/>
      <c r="D46"/>
      <c r="E46" s="169"/>
      <c r="F46" s="169"/>
      <c r="G46" s="169"/>
      <c r="H46" s="169"/>
      <c r="I46" s="169"/>
      <c r="K46" s="169"/>
      <c r="L46" s="176"/>
      <c r="M46" s="169"/>
      <c r="N46" s="169"/>
      <c r="O46" s="169"/>
      <c r="P46" s="169"/>
      <c r="Q46" s="169"/>
      <c r="R46" s="169"/>
      <c r="U46"/>
      <c r="V46"/>
      <c r="W46"/>
      <c r="X46"/>
      <c r="Y46"/>
      <c r="Z46"/>
    </row>
    <row r="47" spans="2:16" ht="22.5">
      <c r="B47" s="177"/>
      <c r="C47"/>
      <c r="D47"/>
      <c r="E47"/>
      <c r="F47"/>
      <c r="K47"/>
      <c r="L47" s="178"/>
      <c r="M47"/>
      <c r="N47"/>
      <c r="O47"/>
      <c r="P47"/>
    </row>
    <row r="48" spans="3:16" ht="22.5">
      <c r="C48"/>
      <c r="D48"/>
      <c r="E48"/>
      <c r="F48"/>
      <c r="K48"/>
      <c r="L48" s="178"/>
      <c r="M48"/>
      <c r="N48"/>
      <c r="O48"/>
      <c r="P48"/>
    </row>
    <row r="49" spans="2:16" ht="22.5">
      <c r="B49"/>
      <c r="C49"/>
      <c r="D49"/>
      <c r="E49"/>
      <c r="F49"/>
      <c r="K49"/>
      <c r="L49" s="178"/>
      <c r="M49"/>
      <c r="N49"/>
      <c r="O49"/>
      <c r="P49" s="179"/>
    </row>
    <row r="50" spans="2:16" ht="22.5">
      <c r="B50"/>
      <c r="C50"/>
      <c r="D50"/>
      <c r="E50"/>
      <c r="F50"/>
      <c r="K50"/>
      <c r="L50" s="178"/>
      <c r="M50"/>
      <c r="N50"/>
      <c r="O50"/>
      <c r="P50" s="179"/>
    </row>
    <row r="51" spans="2:16" ht="22.5">
      <c r="B51"/>
      <c r="C51"/>
      <c r="D51"/>
      <c r="E51"/>
      <c r="F51"/>
      <c r="K51"/>
      <c r="L51" s="178"/>
      <c r="M51"/>
      <c r="N51"/>
      <c r="O51"/>
      <c r="P51" s="179"/>
    </row>
    <row r="52" spans="2:16" ht="22.5">
      <c r="B52"/>
      <c r="C52"/>
      <c r="D52"/>
      <c r="E52"/>
      <c r="F52"/>
      <c r="K52"/>
      <c r="L52" s="178"/>
      <c r="M52"/>
      <c r="N52"/>
      <c r="O52"/>
      <c r="P52" s="180"/>
    </row>
    <row r="53" spans="2:16" ht="22.5">
      <c r="B53"/>
      <c r="C53"/>
      <c r="D53"/>
      <c r="E53"/>
      <c r="F53"/>
      <c r="K53"/>
      <c r="L53" s="178"/>
      <c r="M53"/>
      <c r="N53"/>
      <c r="O53"/>
      <c r="P53" s="179"/>
    </row>
    <row r="54" spans="3:16" ht="22.5">
      <c r="C54"/>
      <c r="D54"/>
      <c r="E54"/>
      <c r="F54"/>
      <c r="K54"/>
      <c r="L54" s="178"/>
      <c r="M54"/>
      <c r="N54"/>
      <c r="O54"/>
      <c r="P54" s="180"/>
    </row>
    <row r="55" spans="3:16" ht="22.5">
      <c r="C55"/>
      <c r="D55"/>
      <c r="E55"/>
      <c r="F55"/>
      <c r="K55"/>
      <c r="L55" s="178"/>
      <c r="M55"/>
      <c r="N55"/>
      <c r="O55"/>
      <c r="P55" s="179"/>
    </row>
    <row r="56" spans="3:16" ht="22.5">
      <c r="C56"/>
      <c r="D56"/>
      <c r="E56"/>
      <c r="F56"/>
      <c r="K56"/>
      <c r="L56" s="178"/>
      <c r="M56"/>
      <c r="N56"/>
      <c r="O56"/>
      <c r="P56" s="180"/>
    </row>
    <row r="57" spans="11:16" ht="22.5">
      <c r="K57"/>
      <c r="L57" s="178"/>
      <c r="M57"/>
      <c r="N57"/>
      <c r="O57"/>
      <c r="P57" s="179"/>
    </row>
    <row r="58" spans="11:16" ht="22.5">
      <c r="K58"/>
      <c r="L58" s="178"/>
      <c r="M58"/>
      <c r="N58"/>
      <c r="O58"/>
      <c r="P58" s="180"/>
    </row>
    <row r="59" spans="11:16" ht="22.5">
      <c r="K59"/>
      <c r="L59" s="178"/>
      <c r="M59"/>
      <c r="N59"/>
      <c r="O59"/>
      <c r="P59" s="179"/>
    </row>
    <row r="60" spans="11:16" ht="22.5">
      <c r="K60"/>
      <c r="L60" s="178"/>
      <c r="M60"/>
      <c r="N60"/>
      <c r="O60"/>
      <c r="P60" s="180"/>
    </row>
    <row r="61" spans="11:16" ht="22.5">
      <c r="K61"/>
      <c r="L61" s="178"/>
      <c r="M61"/>
      <c r="N61"/>
      <c r="O61"/>
      <c r="P61" s="179"/>
    </row>
    <row r="62" spans="11:16" ht="22.5">
      <c r="K62"/>
      <c r="L62" s="178"/>
      <c r="M62"/>
      <c r="N62"/>
      <c r="O62"/>
      <c r="P62" s="180"/>
    </row>
    <row r="63" spans="11:16" ht="22.5">
      <c r="K63"/>
      <c r="L63" s="178"/>
      <c r="M63"/>
      <c r="N63"/>
      <c r="O63"/>
      <c r="P63" s="179"/>
    </row>
    <row r="64" spans="11:16" ht="22.5">
      <c r="K64"/>
      <c r="L64" s="178"/>
      <c r="M64"/>
      <c r="N64"/>
      <c r="O64"/>
      <c r="P64" s="180"/>
    </row>
    <row r="65" spans="11:16" ht="22.5">
      <c r="K65"/>
      <c r="L65" s="178"/>
      <c r="M65"/>
      <c r="N65"/>
      <c r="O65"/>
      <c r="P65" s="179"/>
    </row>
    <row r="66" spans="11:16" ht="22.5">
      <c r="K66"/>
      <c r="L66" s="178"/>
      <c r="M66"/>
      <c r="N66"/>
      <c r="O66"/>
      <c r="P66" s="180"/>
    </row>
    <row r="67" spans="11:16" ht="22.5">
      <c r="K67"/>
      <c r="L67" s="178"/>
      <c r="M67"/>
      <c r="N67"/>
      <c r="O67"/>
      <c r="P67" s="179"/>
    </row>
  </sheetData>
  <mergeCells count="2">
    <mergeCell ref="C13:F13"/>
    <mergeCell ref="J17:K17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33" r:id="rId1"/>
  <headerFooter alignWithMargins="0">
    <oddFooter>&amp;C&amp;12&amp;P+147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 topLeftCell="P1">
      <selection activeCell="V4" sqref="V4"/>
    </sheetView>
  </sheetViews>
  <sheetFormatPr defaultColWidth="9.00390625" defaultRowHeight="12.75"/>
  <cols>
    <col min="1" max="1" width="2.625" style="144" customWidth="1"/>
    <col min="2" max="2" width="34.00390625" style="144" customWidth="1"/>
    <col min="3" max="4" width="13.50390625" style="144" customWidth="1"/>
    <col min="5" max="5" width="11.50390625" style="144" customWidth="1"/>
    <col min="6" max="6" width="13.375" style="144" customWidth="1"/>
    <col min="7" max="7" width="14.375" style="144" customWidth="1"/>
    <col min="8" max="8" width="11.50390625" style="144" customWidth="1"/>
    <col min="9" max="9" width="14.625" style="144" customWidth="1"/>
    <col min="10" max="10" width="11.875" style="144" customWidth="1"/>
    <col min="11" max="11" width="10.875" style="144" customWidth="1"/>
    <col min="12" max="12" width="11.50390625" style="144" customWidth="1"/>
    <col min="13" max="13" width="10.50390625" style="144" customWidth="1"/>
    <col min="14" max="14" width="29.375" style="144" hidden="1" customWidth="1"/>
    <col min="15" max="15" width="13.875" style="144" customWidth="1"/>
    <col min="16" max="22" width="12.625" style="144" customWidth="1"/>
    <col min="23" max="23" width="2.625" style="144" customWidth="1"/>
    <col min="24" max="24" width="11.125" style="144" customWidth="1"/>
    <col min="25" max="25" width="10.50390625" style="144" hidden="1" customWidth="1"/>
    <col min="26" max="26" width="9.50390625" style="144" hidden="1" customWidth="1"/>
    <col min="27" max="16384" width="8.875" style="144" customWidth="1"/>
  </cols>
  <sheetData>
    <row r="1" spans="2:22" ht="20.25">
      <c r="B1" s="1496" t="s">
        <v>3514</v>
      </c>
      <c r="C1" s="220"/>
      <c r="D1" s="220"/>
      <c r="E1" s="220"/>
      <c r="N1" s="24"/>
      <c r="O1" s="1179"/>
      <c r="P1" s="1179"/>
      <c r="Q1"/>
      <c r="R1"/>
      <c r="S1"/>
      <c r="T1"/>
      <c r="U1"/>
      <c r="V1" s="1497" t="s">
        <v>3605</v>
      </c>
    </row>
    <row r="2" spans="2:22" ht="15">
      <c r="B2" s="1863"/>
      <c r="C2" s="1863"/>
      <c r="D2" s="1863"/>
      <c r="N2" s="1180"/>
      <c r="O2" s="1181"/>
      <c r="P2" s="1181"/>
      <c r="Q2" s="1182"/>
      <c r="R2" s="1182"/>
      <c r="S2" s="1177"/>
      <c r="T2" s="1177"/>
      <c r="U2" s="1177"/>
      <c r="V2" s="1177"/>
    </row>
    <row r="3" spans="2:22" ht="21" customHeight="1">
      <c r="B3" s="1870" t="s">
        <v>3515</v>
      </c>
      <c r="C3" s="1870"/>
      <c r="D3" s="1870"/>
      <c r="E3" s="1870"/>
      <c r="F3" s="1870"/>
      <c r="G3" s="1870"/>
      <c r="H3" s="1870"/>
      <c r="I3" s="1870"/>
      <c r="J3" s="1870"/>
      <c r="K3" s="1870"/>
      <c r="L3" s="1870"/>
      <c r="M3" s="1870"/>
      <c r="N3" s="1870"/>
      <c r="O3" s="1870"/>
      <c r="P3" s="1870"/>
      <c r="Q3" s="1870"/>
      <c r="R3" s="1870"/>
      <c r="S3" s="1870"/>
      <c r="T3" s="1870"/>
      <c r="U3" s="1870"/>
      <c r="V3" s="1870"/>
    </row>
    <row r="4" spans="2:22" ht="18" thickBot="1"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183"/>
      <c r="T4" s="1183"/>
      <c r="U4" s="1183"/>
      <c r="V4" s="1498" t="s">
        <v>2575</v>
      </c>
    </row>
    <row r="5" spans="1:22" ht="66" customHeight="1" thickBot="1">
      <c r="A5" s="144"/>
      <c r="B5" s="1865" t="s">
        <v>3516</v>
      </c>
      <c r="C5" s="1859" t="s">
        <v>2740</v>
      </c>
      <c r="D5" s="1859" t="s">
        <v>2741</v>
      </c>
      <c r="E5" s="1859" t="s">
        <v>2742</v>
      </c>
      <c r="F5" s="1859" t="s">
        <v>3156</v>
      </c>
      <c r="G5" s="1859" t="s">
        <v>3340</v>
      </c>
      <c r="H5" s="1859" t="s">
        <v>2744</v>
      </c>
      <c r="I5" s="1859" t="s">
        <v>3342</v>
      </c>
      <c r="J5" s="1867" t="s">
        <v>2746</v>
      </c>
      <c r="K5" s="1868"/>
      <c r="L5" s="1869" t="s">
        <v>3517</v>
      </c>
      <c r="M5" s="1861"/>
      <c r="N5" s="1865"/>
      <c r="O5" s="1859" t="s">
        <v>3518</v>
      </c>
      <c r="P5" s="1859" t="s">
        <v>3519</v>
      </c>
      <c r="Q5" s="1859" t="s">
        <v>3520</v>
      </c>
      <c r="R5" s="1859" t="s">
        <v>3521</v>
      </c>
      <c r="S5" s="1859" t="s">
        <v>3522</v>
      </c>
      <c r="T5" s="1859" t="s">
        <v>3523</v>
      </c>
      <c r="U5" s="1859" t="s">
        <v>3524</v>
      </c>
      <c r="V5" s="1861" t="s">
        <v>3525</v>
      </c>
    </row>
    <row r="6" spans="2:26" ht="98.25" customHeight="1" thickBot="1">
      <c r="B6" s="1866"/>
      <c r="C6" s="1860"/>
      <c r="D6" s="1860"/>
      <c r="E6" s="1860"/>
      <c r="F6" s="1860"/>
      <c r="G6" s="1860"/>
      <c r="H6" s="1860"/>
      <c r="I6" s="1860"/>
      <c r="J6" s="1274" t="s">
        <v>2749</v>
      </c>
      <c r="K6" s="1274" t="s">
        <v>3606</v>
      </c>
      <c r="L6" s="1274" t="s">
        <v>2751</v>
      </c>
      <c r="M6" s="1274" t="s">
        <v>3607</v>
      </c>
      <c r="N6" s="1866"/>
      <c r="O6" s="1860"/>
      <c r="P6" s="1860"/>
      <c r="Q6" s="1860"/>
      <c r="R6" s="1860"/>
      <c r="S6" s="1860"/>
      <c r="T6" s="1860"/>
      <c r="U6" s="1860"/>
      <c r="V6" s="1862"/>
      <c r="Y6" s="1073" t="s">
        <v>3526</v>
      </c>
      <c r="Z6" s="1073" t="s">
        <v>3527</v>
      </c>
    </row>
    <row r="7" spans="2:26" ht="23.25" thickBot="1">
      <c r="B7" s="1275"/>
      <c r="C7" s="1184">
        <v>1</v>
      </c>
      <c r="D7" s="1185">
        <v>2</v>
      </c>
      <c r="E7" s="1184">
        <v>3</v>
      </c>
      <c r="F7" s="1185">
        <v>4</v>
      </c>
      <c r="G7" s="1184">
        <v>5</v>
      </c>
      <c r="H7" s="1185">
        <v>6</v>
      </c>
      <c r="I7" s="1184">
        <v>7</v>
      </c>
      <c r="J7" s="1185">
        <v>8</v>
      </c>
      <c r="K7" s="1184">
        <v>9</v>
      </c>
      <c r="L7" s="1185">
        <v>10</v>
      </c>
      <c r="M7" s="1184">
        <v>11</v>
      </c>
      <c r="N7" s="1276"/>
      <c r="O7" s="1276" t="s">
        <v>3528</v>
      </c>
      <c r="P7" s="1277" t="s">
        <v>3529</v>
      </c>
      <c r="Q7" s="1276" t="s">
        <v>3530</v>
      </c>
      <c r="R7" s="1277" t="s">
        <v>3531</v>
      </c>
      <c r="S7" s="1276" t="s">
        <v>3532</v>
      </c>
      <c r="T7" s="1277" t="s">
        <v>3533</v>
      </c>
      <c r="U7" s="1276" t="s">
        <v>3534</v>
      </c>
      <c r="V7" s="1276" t="s">
        <v>3535</v>
      </c>
      <c r="Y7" s="1186" t="s">
        <v>3536</v>
      </c>
      <c r="Z7" s="1186" t="s">
        <v>3537</v>
      </c>
    </row>
    <row r="8" spans="2:26" ht="19.5" customHeight="1" thickBot="1">
      <c r="B8" s="1278" t="s">
        <v>3538</v>
      </c>
      <c r="C8" s="1279">
        <f aca="true" t="shared" si="0" ref="C8:M8">SUM(C11:C16)</f>
        <v>2346600</v>
      </c>
      <c r="D8" s="1280">
        <f t="shared" si="0"/>
        <v>2395600</v>
      </c>
      <c r="E8" s="1279">
        <f t="shared" si="0"/>
        <v>0</v>
      </c>
      <c r="F8" s="1280">
        <f t="shared" si="0"/>
        <v>2395600</v>
      </c>
      <c r="G8" s="1281">
        <f t="shared" si="0"/>
        <v>2394091.377</v>
      </c>
      <c r="H8" s="1282">
        <f t="shared" si="0"/>
        <v>1508.563</v>
      </c>
      <c r="I8" s="1281">
        <f t="shared" si="0"/>
        <v>2395599.94</v>
      </c>
      <c r="J8" s="1282">
        <f t="shared" si="0"/>
        <v>-1508.6230000000735</v>
      </c>
      <c r="K8" s="1279">
        <f t="shared" si="0"/>
        <v>-0.060000000055879354</v>
      </c>
      <c r="L8" s="1283">
        <f t="shared" si="0"/>
        <v>-1508.6230000000735</v>
      </c>
      <c r="M8" s="1284">
        <f t="shared" si="0"/>
        <v>-0.060000000055879354</v>
      </c>
      <c r="N8" s="1285" t="s">
        <v>3538</v>
      </c>
      <c r="O8" s="1286">
        <f>SUM(O11:O16)</f>
        <v>2250801.0530000003</v>
      </c>
      <c r="P8" s="1287">
        <f>+G8/O8</f>
        <v>1.0636619233001574</v>
      </c>
      <c r="Q8" s="1288">
        <f>SUM(Q11:Q16)</f>
        <v>22163</v>
      </c>
      <c r="R8" s="1289">
        <f>SUM(R11:R16)</f>
        <v>21361</v>
      </c>
      <c r="S8" s="1260"/>
      <c r="T8" s="1261"/>
      <c r="U8" s="1260">
        <f>SUM(U11:U16)</f>
        <v>2607</v>
      </c>
      <c r="V8" s="1290">
        <f>SUM(V11:V16)</f>
        <v>3</v>
      </c>
      <c r="Y8" s="1187">
        <f>SUM(Y11:Y16)</f>
        <v>802</v>
      </c>
      <c r="Z8" s="1187">
        <f>SUM(Z11:Z16)</f>
        <v>534</v>
      </c>
    </row>
    <row r="9" spans="2:26" ht="24.75" customHeight="1">
      <c r="B9" s="1291" t="s">
        <v>3539</v>
      </c>
      <c r="C9" s="1265"/>
      <c r="D9" s="1268"/>
      <c r="E9" s="1265"/>
      <c r="F9" s="1268"/>
      <c r="G9" s="1269"/>
      <c r="H9" s="1270"/>
      <c r="I9" s="1269"/>
      <c r="J9" s="1270"/>
      <c r="K9" s="1265"/>
      <c r="L9" s="1271"/>
      <c r="M9" s="1265"/>
      <c r="N9" s="1292" t="s">
        <v>3539</v>
      </c>
      <c r="O9" s="1269"/>
      <c r="P9" s="1293"/>
      <c r="Q9" s="1272"/>
      <c r="R9" s="1272"/>
      <c r="S9" s="1272"/>
      <c r="T9" s="1272"/>
      <c r="U9" s="1272"/>
      <c r="V9" s="1272"/>
      <c r="Y9" s="1188"/>
      <c r="Z9" s="1188"/>
    </row>
    <row r="10" spans="2:26" ht="24.75" customHeight="1">
      <c r="B10" s="1294" t="s">
        <v>3540</v>
      </c>
      <c r="C10" s="1266"/>
      <c r="D10" s="1262"/>
      <c r="E10" s="1266"/>
      <c r="F10" s="1262"/>
      <c r="G10" s="1263"/>
      <c r="H10" s="1264"/>
      <c r="I10" s="1263"/>
      <c r="J10" s="1264"/>
      <c r="K10" s="1266"/>
      <c r="L10" s="1199"/>
      <c r="M10" s="1266"/>
      <c r="N10" s="1295" t="s">
        <v>3540</v>
      </c>
      <c r="O10" s="1263"/>
      <c r="P10" s="1296"/>
      <c r="Q10" s="1267"/>
      <c r="R10" s="1267"/>
      <c r="S10" s="1267"/>
      <c r="T10" s="1267"/>
      <c r="U10" s="1267"/>
      <c r="V10" s="1267"/>
      <c r="Y10" s="1188"/>
      <c r="Z10" s="1188"/>
    </row>
    <row r="11" spans="2:26" ht="24.75" customHeight="1">
      <c r="B11" s="1294" t="s">
        <v>3541</v>
      </c>
      <c r="C11" s="1266">
        <v>2038300</v>
      </c>
      <c r="D11" s="1266">
        <v>2100510</v>
      </c>
      <c r="E11" s="1266">
        <v>0</v>
      </c>
      <c r="F11" s="1262">
        <f aca="true" t="shared" si="1" ref="F11:F16">+D11+E11</f>
        <v>2100510</v>
      </c>
      <c r="G11" s="1263">
        <v>2100344.082</v>
      </c>
      <c r="H11" s="1263">
        <v>165.858</v>
      </c>
      <c r="I11" s="1263">
        <f aca="true" t="shared" si="2" ref="I11:I16">+G11+H11</f>
        <v>2100509.94</v>
      </c>
      <c r="J11" s="1264">
        <f aca="true" t="shared" si="3" ref="J11:J16">+G11-D11</f>
        <v>-165.91800000006333</v>
      </c>
      <c r="K11" s="1266">
        <f aca="true" t="shared" si="4" ref="K11:K16">+I11-D11</f>
        <v>-0.060000000055879354</v>
      </c>
      <c r="L11" s="1199">
        <f aca="true" t="shared" si="5" ref="L11:L16">+G11-F11</f>
        <v>-165.91800000006333</v>
      </c>
      <c r="M11" s="1266">
        <f aca="true" t="shared" si="6" ref="M11:M16">+I11-F11</f>
        <v>-0.060000000055879354</v>
      </c>
      <c r="N11" s="1295" t="s">
        <v>3541</v>
      </c>
      <c r="O11" s="1263">
        <v>1955732.827</v>
      </c>
      <c r="P11" s="1297">
        <f aca="true" t="shared" si="7" ref="P11:P16">+G11/O11</f>
        <v>1.0739422343397624</v>
      </c>
      <c r="Q11" s="1267">
        <v>18529</v>
      </c>
      <c r="R11" s="1267">
        <v>17601</v>
      </c>
      <c r="S11" s="1267">
        <v>9445</v>
      </c>
      <c r="T11" s="1267">
        <v>9326</v>
      </c>
      <c r="U11" s="1267">
        <v>1703</v>
      </c>
      <c r="V11" s="1267">
        <v>3</v>
      </c>
      <c r="Y11" s="1189">
        <f aca="true" t="shared" si="8" ref="Y11:Y16">Q11-R11</f>
        <v>928</v>
      </c>
      <c r="Z11" s="1189">
        <f aca="true" t="shared" si="9" ref="Z11:Z16">S11-T11</f>
        <v>119</v>
      </c>
    </row>
    <row r="12" spans="2:26" ht="24.75" customHeight="1">
      <c r="B12" s="1294" t="s">
        <v>3542</v>
      </c>
      <c r="C12" s="1266">
        <v>154100</v>
      </c>
      <c r="D12" s="1266">
        <v>149600</v>
      </c>
      <c r="E12" s="1266">
        <v>0</v>
      </c>
      <c r="F12" s="1262">
        <f t="shared" si="1"/>
        <v>149600</v>
      </c>
      <c r="G12" s="1263">
        <v>149271.022</v>
      </c>
      <c r="H12" s="1263">
        <v>328.978</v>
      </c>
      <c r="I12" s="1263">
        <f t="shared" si="2"/>
        <v>149600</v>
      </c>
      <c r="J12" s="1264">
        <f t="shared" si="3"/>
        <v>-328.9780000000028</v>
      </c>
      <c r="K12" s="1266">
        <f t="shared" si="4"/>
        <v>0</v>
      </c>
      <c r="L12" s="1199">
        <f t="shared" si="5"/>
        <v>-328.9780000000028</v>
      </c>
      <c r="M12" s="1266">
        <f t="shared" si="6"/>
        <v>0</v>
      </c>
      <c r="N12" s="1295" t="s">
        <v>3542</v>
      </c>
      <c r="O12" s="1263">
        <v>147620.927</v>
      </c>
      <c r="P12" s="1297">
        <f t="shared" si="7"/>
        <v>1.0111779205938736</v>
      </c>
      <c r="Q12" s="1267">
        <v>1335</v>
      </c>
      <c r="R12" s="1267">
        <v>1353</v>
      </c>
      <c r="S12" s="1267">
        <v>9227</v>
      </c>
      <c r="T12" s="1267">
        <v>9050</v>
      </c>
      <c r="U12" s="1267">
        <v>72</v>
      </c>
      <c r="V12" s="1267"/>
      <c r="Y12" s="1189">
        <f t="shared" si="8"/>
        <v>-18</v>
      </c>
      <c r="Z12" s="1189">
        <f t="shared" si="9"/>
        <v>177</v>
      </c>
    </row>
    <row r="13" spans="2:26" ht="24.75" customHeight="1">
      <c r="B13" s="1294" t="s">
        <v>3543</v>
      </c>
      <c r="C13" s="1266">
        <v>13400</v>
      </c>
      <c r="D13" s="1266">
        <v>12190</v>
      </c>
      <c r="E13" s="1266">
        <v>0</v>
      </c>
      <c r="F13" s="1262">
        <f t="shared" si="1"/>
        <v>12190</v>
      </c>
      <c r="G13" s="1263">
        <v>11987.559</v>
      </c>
      <c r="H13" s="1263">
        <v>202.441</v>
      </c>
      <c r="I13" s="1263">
        <f t="shared" si="2"/>
        <v>12190</v>
      </c>
      <c r="J13" s="1264">
        <f>+G13-D13</f>
        <v>-202.4410000000007</v>
      </c>
      <c r="K13" s="1266">
        <f t="shared" si="4"/>
        <v>0</v>
      </c>
      <c r="L13" s="1199">
        <f>+G13-F13</f>
        <v>-202.4410000000007</v>
      </c>
      <c r="M13" s="1266">
        <f t="shared" si="6"/>
        <v>0</v>
      </c>
      <c r="N13" s="1295" t="s">
        <v>3543</v>
      </c>
      <c r="O13" s="1263">
        <v>12557.765</v>
      </c>
      <c r="P13" s="1297">
        <f t="shared" si="7"/>
        <v>0.9545933531962096</v>
      </c>
      <c r="Q13" s="1267">
        <v>193</v>
      </c>
      <c r="R13" s="1267">
        <v>219</v>
      </c>
      <c r="S13" s="1267">
        <v>4798</v>
      </c>
      <c r="T13" s="1267">
        <v>4715</v>
      </c>
      <c r="U13" s="1267">
        <v>21</v>
      </c>
      <c r="V13" s="1267"/>
      <c r="Y13" s="1189">
        <f t="shared" si="8"/>
        <v>-26</v>
      </c>
      <c r="Z13" s="1189">
        <f t="shared" si="9"/>
        <v>83</v>
      </c>
    </row>
    <row r="14" spans="2:26" ht="24.75" customHeight="1">
      <c r="B14" s="1294" t="s">
        <v>3544</v>
      </c>
      <c r="C14" s="1266">
        <v>1100</v>
      </c>
      <c r="D14" s="1266">
        <v>1100</v>
      </c>
      <c r="E14" s="1266">
        <v>0</v>
      </c>
      <c r="F14" s="1262">
        <f t="shared" si="1"/>
        <v>1100</v>
      </c>
      <c r="G14" s="1263">
        <v>1058.193</v>
      </c>
      <c r="H14" s="1263">
        <v>41.807</v>
      </c>
      <c r="I14" s="1263">
        <f t="shared" si="2"/>
        <v>1100</v>
      </c>
      <c r="J14" s="1264">
        <f t="shared" si="3"/>
        <v>-41.807000000000016</v>
      </c>
      <c r="K14" s="1266">
        <f t="shared" si="4"/>
        <v>0</v>
      </c>
      <c r="L14" s="1199">
        <f t="shared" si="5"/>
        <v>-41.807000000000016</v>
      </c>
      <c r="M14" s="1266">
        <f t="shared" si="6"/>
        <v>0</v>
      </c>
      <c r="N14" s="1295" t="s">
        <v>3544</v>
      </c>
      <c r="O14" s="1263">
        <v>1014.929</v>
      </c>
      <c r="P14" s="1297">
        <f t="shared" si="7"/>
        <v>1.0426276123748557</v>
      </c>
      <c r="Q14" s="1267">
        <v>17</v>
      </c>
      <c r="R14" s="1267">
        <v>17</v>
      </c>
      <c r="S14" s="1267">
        <v>4553</v>
      </c>
      <c r="T14" s="1267">
        <v>4546</v>
      </c>
      <c r="U14" s="1267">
        <v>57</v>
      </c>
      <c r="V14" s="1267"/>
      <c r="Y14" s="1189">
        <f t="shared" si="8"/>
        <v>0</v>
      </c>
      <c r="Z14" s="1189">
        <f t="shared" si="9"/>
        <v>7</v>
      </c>
    </row>
    <row r="15" spans="2:26" ht="24.75" customHeight="1">
      <c r="B15" s="1294" t="s">
        <v>3545</v>
      </c>
      <c r="C15" s="1266">
        <v>96700</v>
      </c>
      <c r="D15" s="1266">
        <v>89200</v>
      </c>
      <c r="E15" s="1266">
        <v>0</v>
      </c>
      <c r="F15" s="1262">
        <f t="shared" si="1"/>
        <v>89200</v>
      </c>
      <c r="G15" s="1263">
        <v>89179.074</v>
      </c>
      <c r="H15" s="1263">
        <v>20.926</v>
      </c>
      <c r="I15" s="1263">
        <f t="shared" si="2"/>
        <v>89200</v>
      </c>
      <c r="J15" s="1264">
        <f t="shared" si="3"/>
        <v>-20.926000000006752</v>
      </c>
      <c r="K15" s="1266">
        <f t="shared" si="4"/>
        <v>0</v>
      </c>
      <c r="L15" s="1199">
        <f t="shared" si="5"/>
        <v>-20.926000000006752</v>
      </c>
      <c r="M15" s="1266">
        <f t="shared" si="6"/>
        <v>0</v>
      </c>
      <c r="N15" s="1295" t="s">
        <v>3545</v>
      </c>
      <c r="O15" s="1263">
        <v>92455.973</v>
      </c>
      <c r="P15" s="1297">
        <f t="shared" si="7"/>
        <v>0.9645571952392951</v>
      </c>
      <c r="Q15" s="1267">
        <v>1265</v>
      </c>
      <c r="R15" s="1267">
        <v>1319</v>
      </c>
      <c r="S15" s="1267">
        <v>5636</v>
      </c>
      <c r="T15" s="1267">
        <v>5580</v>
      </c>
      <c r="U15" s="1267">
        <v>654</v>
      </c>
      <c r="V15" s="1267"/>
      <c r="Y15" s="1189">
        <f t="shared" si="8"/>
        <v>-54</v>
      </c>
      <c r="Z15" s="1189">
        <f t="shared" si="9"/>
        <v>56</v>
      </c>
    </row>
    <row r="16" spans="2:26" ht="24.75" customHeight="1" thickBot="1">
      <c r="B16" s="1298" t="s">
        <v>3546</v>
      </c>
      <c r="C16" s="1299">
        <v>43000</v>
      </c>
      <c r="D16" s="1299">
        <v>43000</v>
      </c>
      <c r="E16" s="1299">
        <v>0</v>
      </c>
      <c r="F16" s="1300">
        <f t="shared" si="1"/>
        <v>43000</v>
      </c>
      <c r="G16" s="1301">
        <v>42251.447</v>
      </c>
      <c r="H16" s="1301">
        <v>748.553</v>
      </c>
      <c r="I16" s="1301">
        <f t="shared" si="2"/>
        <v>43000</v>
      </c>
      <c r="J16" s="1302">
        <f t="shared" si="3"/>
        <v>-748.5529999999999</v>
      </c>
      <c r="K16" s="1299">
        <f t="shared" si="4"/>
        <v>0</v>
      </c>
      <c r="L16" s="1303">
        <f t="shared" si="5"/>
        <v>-748.5529999999999</v>
      </c>
      <c r="M16" s="1299">
        <f t="shared" si="6"/>
        <v>0</v>
      </c>
      <c r="N16" s="1304" t="s">
        <v>3546</v>
      </c>
      <c r="O16" s="1301">
        <v>41418.632</v>
      </c>
      <c r="P16" s="1305">
        <f t="shared" si="7"/>
        <v>1.020107255111661</v>
      </c>
      <c r="Q16" s="1273">
        <v>824</v>
      </c>
      <c r="R16" s="1273">
        <v>852</v>
      </c>
      <c r="S16" s="1273">
        <v>4043</v>
      </c>
      <c r="T16" s="1273">
        <v>3951</v>
      </c>
      <c r="U16" s="1273">
        <v>100</v>
      </c>
      <c r="V16" s="1273"/>
      <c r="Y16" s="1189">
        <f t="shared" si="8"/>
        <v>-28</v>
      </c>
      <c r="Z16" s="1189">
        <f t="shared" si="9"/>
        <v>92</v>
      </c>
    </row>
    <row r="17" spans="2:26" ht="19.5" customHeight="1">
      <c r="B17" s="1306"/>
      <c r="C17" s="1307"/>
      <c r="D17" s="1307"/>
      <c r="E17" s="1307"/>
      <c r="F17" s="1307"/>
      <c r="G17" s="1308"/>
      <c r="H17" s="1308"/>
      <c r="I17" s="1308"/>
      <c r="J17" s="1308"/>
      <c r="K17" s="1307"/>
      <c r="L17" s="1308"/>
      <c r="M17" s="1307"/>
      <c r="N17" s="1306"/>
      <c r="O17" s="1308"/>
      <c r="P17" s="1309"/>
      <c r="Q17" s="1310"/>
      <c r="R17" s="1310"/>
      <c r="S17" s="1310"/>
      <c r="T17" s="1310"/>
      <c r="U17" s="1310"/>
      <c r="V17" s="1310"/>
      <c r="Y17" s="1311"/>
      <c r="Z17" s="1311"/>
    </row>
    <row r="18" spans="2:26" ht="19.5" customHeight="1">
      <c r="B18" s="1306"/>
      <c r="C18" s="1307"/>
      <c r="D18" s="1307"/>
      <c r="E18" s="1307"/>
      <c r="F18" s="1307"/>
      <c r="G18" s="1308"/>
      <c r="H18" s="1308"/>
      <c r="I18" s="1308"/>
      <c r="J18" s="1308"/>
      <c r="K18" s="1307"/>
      <c r="L18" s="1308"/>
      <c r="M18" s="1307"/>
      <c r="N18" s="1306"/>
      <c r="O18" s="1308"/>
      <c r="P18" s="1309"/>
      <c r="Q18" s="1310"/>
      <c r="R18" s="1310"/>
      <c r="S18" s="1310"/>
      <c r="T18" s="1310"/>
      <c r="U18" s="1310"/>
      <c r="V18" s="1310"/>
      <c r="Y18" s="1311"/>
      <c r="Z18" s="1311"/>
    </row>
    <row r="19" ht="18" customHeight="1"/>
    <row r="20" spans="2:26" ht="20.25" customHeight="1">
      <c r="B20" s="1340" t="s">
        <v>3721</v>
      </c>
      <c r="C20" s="50"/>
      <c r="D20" s="50"/>
      <c r="E20" s="50"/>
      <c r="M20" s="1190"/>
      <c r="N20" s="50" t="s">
        <v>3547</v>
      </c>
      <c r="O20" s="50"/>
      <c r="P20" s="50"/>
      <c r="Q20" s="1341" t="s">
        <v>3602</v>
      </c>
      <c r="S20"/>
      <c r="T20" s="1255"/>
      <c r="U20" s="1858" t="s">
        <v>3510</v>
      </c>
      <c r="V20" s="1858"/>
      <c r="Y20" s="1191"/>
      <c r="Z20" s="1190"/>
    </row>
    <row r="21" spans="2:26" ht="20.25" customHeight="1">
      <c r="B21" s="1340" t="s">
        <v>3722</v>
      </c>
      <c r="C21" s="50"/>
      <c r="D21" s="50"/>
      <c r="M21" s="1190"/>
      <c r="N21" s="50" t="s">
        <v>3548</v>
      </c>
      <c r="O21" s="50"/>
      <c r="P21" s="50"/>
      <c r="Y21" s="1191"/>
      <c r="Z21" s="1190"/>
    </row>
    <row r="22" spans="2:26" ht="18" customHeight="1">
      <c r="B22" s="50"/>
      <c r="C22" s="50"/>
      <c r="D22" s="50"/>
      <c r="M22" s="1190"/>
      <c r="N22" s="50"/>
      <c r="O22" s="50"/>
      <c r="Y22" s="1191"/>
      <c r="Z22" s="1190"/>
    </row>
    <row r="23" spans="2:26" ht="18" customHeight="1">
      <c r="B23" s="182"/>
      <c r="M23" s="1190"/>
      <c r="N23" s="182"/>
      <c r="Y23" s="1191"/>
      <c r="Z23" s="1190"/>
    </row>
    <row r="24" spans="13:26" ht="18" customHeight="1">
      <c r="M24" s="1190"/>
      <c r="N24" s="182"/>
      <c r="Y24" s="1191"/>
      <c r="Z24" s="1190"/>
    </row>
    <row r="25" spans="2:26" ht="15">
      <c r="B25" s="1192"/>
      <c r="M25" s="1190"/>
      <c r="N25" s="1192"/>
      <c r="Y25" s="1191"/>
      <c r="Z25" s="1190"/>
    </row>
    <row r="26" spans="2:26" ht="15">
      <c r="B26" s="1192"/>
      <c r="M26" s="1190"/>
      <c r="N26" s="1192"/>
      <c r="Y26" s="1191"/>
      <c r="Z26" s="1190"/>
    </row>
    <row r="27" spans="2:26" ht="15">
      <c r="B27" s="1192"/>
      <c r="M27" s="1190"/>
      <c r="N27" s="1192"/>
      <c r="Y27" s="1191"/>
      <c r="Z27" s="1190"/>
    </row>
    <row r="28" spans="13:26" ht="15">
      <c r="M28" s="1190"/>
      <c r="Y28" s="1191"/>
      <c r="Z28" s="1190"/>
    </row>
    <row r="29" spans="13:26" ht="15">
      <c r="M29" s="1190"/>
      <c r="Y29" s="1191"/>
      <c r="Z29" s="1190"/>
    </row>
    <row r="35" ht="15" customHeight="1"/>
    <row r="36" ht="15" customHeight="1"/>
  </sheetData>
  <mergeCells count="23">
    <mergeCell ref="D5:D6"/>
    <mergeCell ref="E5:E6"/>
    <mergeCell ref="B3:V3"/>
    <mergeCell ref="Q5:Q6"/>
    <mergeCell ref="R5:R6"/>
    <mergeCell ref="S5:S6"/>
    <mergeCell ref="N5:N6"/>
    <mergeCell ref="O5:O6"/>
    <mergeCell ref="P5:P6"/>
    <mergeCell ref="B2:D2"/>
    <mergeCell ref="B4:R4"/>
    <mergeCell ref="G5:G6"/>
    <mergeCell ref="H5:H6"/>
    <mergeCell ref="I5:I6"/>
    <mergeCell ref="B5:B6"/>
    <mergeCell ref="C5:C6"/>
    <mergeCell ref="F5:F6"/>
    <mergeCell ref="J5:K5"/>
    <mergeCell ref="L5:M5"/>
    <mergeCell ref="U20:V20"/>
    <mergeCell ref="T5:T6"/>
    <mergeCell ref="U5:U6"/>
    <mergeCell ref="V5:V6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48" r:id="rId1"/>
  <headerFooter alignWithMargins="0">
    <oddFooter>&amp;C&amp;14&amp;P+78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5"/>
  <sheetViews>
    <sheetView workbookViewId="0" topLeftCell="A1">
      <selection activeCell="B7" sqref="B7"/>
    </sheetView>
  </sheetViews>
  <sheetFormatPr defaultColWidth="9.00390625" defaultRowHeight="12.75"/>
  <cols>
    <col min="1" max="1" width="2.625" style="144" customWidth="1"/>
    <col min="2" max="2" width="42.625" style="144" customWidth="1"/>
    <col min="3" max="4" width="13.50390625" style="144" customWidth="1"/>
    <col min="5" max="5" width="11.50390625" style="144" customWidth="1"/>
    <col min="6" max="6" width="13.50390625" style="144" customWidth="1"/>
    <col min="7" max="7" width="16.125" style="144" customWidth="1"/>
    <col min="8" max="8" width="12.50390625" style="144" customWidth="1"/>
    <col min="9" max="9" width="16.50390625" style="144" customWidth="1"/>
    <col min="10" max="10" width="13.00390625" style="144" customWidth="1"/>
    <col min="11" max="11" width="15.125" style="144" customWidth="1"/>
    <col min="12" max="12" width="15.50390625" style="144" customWidth="1"/>
    <col min="13" max="13" width="14.625" style="144" customWidth="1"/>
    <col min="14" max="14" width="15.375" style="144" hidden="1" customWidth="1"/>
    <col min="15" max="15" width="42.625" style="144" hidden="1" customWidth="1"/>
    <col min="16" max="16" width="16.50390625" style="144" customWidth="1"/>
    <col min="17" max="21" width="13.875" style="144" customWidth="1"/>
    <col min="22" max="22" width="3.50390625" style="144" customWidth="1"/>
    <col min="23" max="23" width="10.625" style="144" customWidth="1"/>
    <col min="24" max="16384" width="8.875" style="144" customWidth="1"/>
  </cols>
  <sheetData>
    <row r="1" spans="2:21" ht="20.25">
      <c r="B1" s="1496" t="s">
        <v>3514</v>
      </c>
      <c r="C1" s="220"/>
      <c r="D1" s="220"/>
      <c r="E1" s="220"/>
      <c r="O1" s="24" t="s">
        <v>3514</v>
      </c>
      <c r="P1" s="220"/>
      <c r="Q1" s="1193"/>
      <c r="R1"/>
      <c r="S1"/>
      <c r="T1"/>
      <c r="U1" s="1497" t="s">
        <v>3608</v>
      </c>
    </row>
    <row r="2" spans="2:29" ht="18.75" customHeight="1">
      <c r="B2" s="1873" t="s">
        <v>3549</v>
      </c>
      <c r="C2" s="1873"/>
      <c r="D2" s="1873"/>
      <c r="E2" s="1873"/>
      <c r="F2" s="1873"/>
      <c r="G2" s="1873"/>
      <c r="H2" s="1873"/>
      <c r="I2" s="1873"/>
      <c r="J2" s="1873"/>
      <c r="K2" s="1873"/>
      <c r="L2" s="1873"/>
      <c r="M2" s="1873"/>
      <c r="N2" s="1873"/>
      <c r="O2" s="1873"/>
      <c r="P2" s="1873"/>
      <c r="Q2" s="1873"/>
      <c r="R2" s="1873"/>
      <c r="S2" s="1873"/>
      <c r="T2" s="1873"/>
      <c r="U2" s="1873"/>
      <c r="V2" s="1194"/>
      <c r="W2" s="1194"/>
      <c r="X2" s="1194"/>
      <c r="Y2" s="1194"/>
      <c r="Z2" s="1194"/>
      <c r="AA2" s="1194"/>
      <c r="AB2" s="1194"/>
      <c r="AC2" s="1194"/>
    </row>
    <row r="3" spans="2:21" ht="18.75" customHeight="1" thickBot="1">
      <c r="B3" s="1195"/>
      <c r="C3" s="182"/>
      <c r="D3" s="182"/>
      <c r="E3" s="182"/>
      <c r="M3" s="586"/>
      <c r="O3" s="1196"/>
      <c r="U3" s="1312" t="s">
        <v>2575</v>
      </c>
    </row>
    <row r="4" spans="2:21" s="1196" customFormat="1" ht="64.5" customHeight="1" thickBot="1">
      <c r="B4" s="1865" t="s">
        <v>3516</v>
      </c>
      <c r="C4" s="1850" t="s">
        <v>3154</v>
      </c>
      <c r="D4" s="1850" t="s">
        <v>2741</v>
      </c>
      <c r="E4" s="1850" t="s">
        <v>3339</v>
      </c>
      <c r="F4" s="1850" t="s">
        <v>3156</v>
      </c>
      <c r="G4" s="1850" t="s">
        <v>3340</v>
      </c>
      <c r="H4" s="1850" t="s">
        <v>2744</v>
      </c>
      <c r="I4" s="1850" t="s">
        <v>3342</v>
      </c>
      <c r="J4" s="1852" t="s">
        <v>2746</v>
      </c>
      <c r="K4" s="1846"/>
      <c r="L4" s="1847" t="s">
        <v>3517</v>
      </c>
      <c r="M4" s="1871"/>
      <c r="N4" s="221"/>
      <c r="O4" s="1840" t="s">
        <v>3516</v>
      </c>
      <c r="P4" s="1850" t="s">
        <v>3550</v>
      </c>
      <c r="Q4" s="1848" t="s">
        <v>3551</v>
      </c>
      <c r="R4" s="1850" t="s">
        <v>3552</v>
      </c>
      <c r="S4" s="1848" t="s">
        <v>3553</v>
      </c>
      <c r="T4" s="1850" t="s">
        <v>3554</v>
      </c>
      <c r="U4" s="1871" t="s">
        <v>3555</v>
      </c>
    </row>
    <row r="5" spans="2:21" s="1196" customFormat="1" ht="66" customHeight="1" thickBot="1">
      <c r="B5" s="1842"/>
      <c r="C5" s="1851"/>
      <c r="D5" s="1851"/>
      <c r="E5" s="1851"/>
      <c r="F5" s="1851"/>
      <c r="G5" s="1851"/>
      <c r="H5" s="1851"/>
      <c r="I5" s="1851"/>
      <c r="J5" s="673" t="s">
        <v>2749</v>
      </c>
      <c r="K5" s="673" t="s">
        <v>2750</v>
      </c>
      <c r="L5" s="673" t="s">
        <v>2751</v>
      </c>
      <c r="M5" s="673" t="s">
        <v>3159</v>
      </c>
      <c r="N5" s="221"/>
      <c r="O5" s="1841"/>
      <c r="P5" s="1851"/>
      <c r="Q5" s="1849"/>
      <c r="R5" s="1851"/>
      <c r="S5" s="1849"/>
      <c r="T5" s="1851"/>
      <c r="U5" s="1872"/>
    </row>
    <row r="6" spans="2:21" s="1196" customFormat="1" ht="21.75" customHeight="1" thickBot="1">
      <c r="B6" s="1313"/>
      <c r="C6" s="1197">
        <v>1</v>
      </c>
      <c r="D6" s="1198">
        <v>2</v>
      </c>
      <c r="E6" s="1197">
        <v>3</v>
      </c>
      <c r="F6" s="1198">
        <v>4</v>
      </c>
      <c r="G6" s="1197">
        <v>5</v>
      </c>
      <c r="H6" s="1198">
        <v>6</v>
      </c>
      <c r="I6" s="1197">
        <v>7</v>
      </c>
      <c r="J6" s="1198">
        <v>8</v>
      </c>
      <c r="K6" s="1197">
        <v>9</v>
      </c>
      <c r="L6" s="1198">
        <v>10</v>
      </c>
      <c r="M6" s="1197">
        <v>11</v>
      </c>
      <c r="N6" s="221"/>
      <c r="O6" s="1275"/>
      <c r="P6" s="1276" t="s">
        <v>3528</v>
      </c>
      <c r="Q6" s="1276" t="s">
        <v>3529</v>
      </c>
      <c r="R6" s="1276" t="s">
        <v>3530</v>
      </c>
      <c r="S6" s="1276" t="s">
        <v>3531</v>
      </c>
      <c r="T6" s="1276" t="s">
        <v>3532</v>
      </c>
      <c r="U6" s="1276" t="s">
        <v>3533</v>
      </c>
    </row>
    <row r="7" spans="2:21" ht="21.75" customHeight="1">
      <c r="B7" s="1314" t="s">
        <v>3556</v>
      </c>
      <c r="C7" s="1315">
        <f aca="true" t="shared" si="0" ref="C7:M7">SUM(C10:C13)</f>
        <v>1776640</v>
      </c>
      <c r="D7" s="1315">
        <f t="shared" si="0"/>
        <v>1723985</v>
      </c>
      <c r="E7" s="1315">
        <f t="shared" si="0"/>
        <v>52.25</v>
      </c>
      <c r="F7" s="1315">
        <f t="shared" si="0"/>
        <v>1724037.25</v>
      </c>
      <c r="G7" s="1315">
        <f t="shared" si="0"/>
        <v>1616842.6400000001</v>
      </c>
      <c r="H7" s="1315">
        <f t="shared" si="0"/>
        <v>107189.104</v>
      </c>
      <c r="I7" s="1315">
        <f t="shared" si="0"/>
        <v>1724031.7440000002</v>
      </c>
      <c r="J7" s="1315">
        <f t="shared" si="0"/>
        <v>-107142.35999999988</v>
      </c>
      <c r="K7" s="1315">
        <f t="shared" si="0"/>
        <v>46.744000000170786</v>
      </c>
      <c r="L7" s="1315">
        <f t="shared" si="0"/>
        <v>-107194.59999999989</v>
      </c>
      <c r="M7" s="1315">
        <f t="shared" si="0"/>
        <v>-5.495999999829214</v>
      </c>
      <c r="N7" s="265"/>
      <c r="O7" s="1346" t="s">
        <v>3556</v>
      </c>
      <c r="P7" s="1325">
        <f>SUM(P10:P13)</f>
        <v>1604417.135</v>
      </c>
      <c r="Q7" s="1347">
        <f>+G7/P7</f>
        <v>1.007744560145202</v>
      </c>
      <c r="R7" s="1316">
        <f>SUM(R10:R13)</f>
        <v>16202</v>
      </c>
      <c r="S7" s="1316">
        <f>SUM(S10:S13)</f>
        <v>16569</v>
      </c>
      <c r="T7" s="1363"/>
      <c r="U7" s="1364"/>
    </row>
    <row r="8" spans="2:21" ht="21.75" customHeight="1">
      <c r="B8" s="1295" t="s">
        <v>3557</v>
      </c>
      <c r="C8" s="1296"/>
      <c r="D8" s="1296"/>
      <c r="E8" s="1317"/>
      <c r="F8" s="1317"/>
      <c r="G8" s="1348"/>
      <c r="H8" s="1348"/>
      <c r="I8" s="1348"/>
      <c r="J8" s="1317"/>
      <c r="K8" s="1317"/>
      <c r="L8" s="1317"/>
      <c r="M8" s="1317"/>
      <c r="N8" s="265"/>
      <c r="O8" s="1349" t="s">
        <v>3557</v>
      </c>
      <c r="P8" s="1266"/>
      <c r="Q8" s="1262"/>
      <c r="R8" s="1318"/>
      <c r="S8" s="1319"/>
      <c r="T8" s="1365"/>
      <c r="U8" s="1366"/>
    </row>
    <row r="9" spans="2:21" ht="21.75" customHeight="1">
      <c r="B9" s="1295" t="s">
        <v>3540</v>
      </c>
      <c r="C9" s="1296"/>
      <c r="D9" s="1296"/>
      <c r="E9" s="1296"/>
      <c r="F9" s="1296"/>
      <c r="G9" s="1296"/>
      <c r="H9" s="1296"/>
      <c r="I9" s="1296"/>
      <c r="J9" s="1296"/>
      <c r="K9" s="1296"/>
      <c r="L9" s="1266"/>
      <c r="M9" s="1266"/>
      <c r="N9" s="265"/>
      <c r="O9" s="1349" t="s">
        <v>3540</v>
      </c>
      <c r="P9" s="1266"/>
      <c r="Q9" s="1262"/>
      <c r="R9" s="1318"/>
      <c r="S9" s="1319"/>
      <c r="T9" s="1365"/>
      <c r="U9" s="1366"/>
    </row>
    <row r="10" spans="2:21" ht="21.75" customHeight="1">
      <c r="B10" s="1295" t="s">
        <v>3558</v>
      </c>
      <c r="C10" s="1296">
        <v>1551000</v>
      </c>
      <c r="D10" s="1296">
        <v>1517589</v>
      </c>
      <c r="E10" s="1296">
        <v>0</v>
      </c>
      <c r="F10" s="1320">
        <f>+D10+E10</f>
        <v>1517589</v>
      </c>
      <c r="G10" s="1296">
        <v>1497318.708</v>
      </c>
      <c r="H10" s="1296">
        <v>20270.3</v>
      </c>
      <c r="I10" s="1320">
        <f>+G10+H10</f>
        <v>1517589.0080000001</v>
      </c>
      <c r="J10" s="1296">
        <f>+G10-D10</f>
        <v>-20270.2919999999</v>
      </c>
      <c r="K10" s="1296">
        <f>+I10-D10</f>
        <v>0.008000000147148967</v>
      </c>
      <c r="L10" s="1266">
        <f>+G10-F10</f>
        <v>-20270.2919999999</v>
      </c>
      <c r="M10" s="1266">
        <f>+I10-F10</f>
        <v>0.008000000147148967</v>
      </c>
      <c r="N10" s="265"/>
      <c r="O10" s="1349" t="s">
        <v>3558</v>
      </c>
      <c r="P10" s="1345">
        <v>1464442.067</v>
      </c>
      <c r="Q10" s="1262">
        <f>+G10/P10</f>
        <v>1.0224499430471496</v>
      </c>
      <c r="R10" s="1321">
        <v>15107</v>
      </c>
      <c r="S10" s="1321">
        <v>15218</v>
      </c>
      <c r="T10" s="1367">
        <v>7.937</v>
      </c>
      <c r="U10" s="1367">
        <v>8.015</v>
      </c>
    </row>
    <row r="11" spans="2:21" ht="21.75" customHeight="1">
      <c r="B11" s="1295" t="s">
        <v>3559</v>
      </c>
      <c r="C11" s="1296">
        <v>500</v>
      </c>
      <c r="D11" s="1296">
        <v>500</v>
      </c>
      <c r="E11" s="1296">
        <v>0</v>
      </c>
      <c r="F11" s="1296">
        <f>+D11+E11</f>
        <v>500</v>
      </c>
      <c r="G11" s="1296">
        <v>124.886</v>
      </c>
      <c r="H11" s="1296">
        <v>375.1</v>
      </c>
      <c r="I11" s="1296">
        <f>+G11+H11</f>
        <v>499.986</v>
      </c>
      <c r="J11" s="1296">
        <f>+G11-D11</f>
        <v>-375.11400000000003</v>
      </c>
      <c r="K11" s="1296">
        <f>+I11-D11</f>
        <v>-0.014000000000010004</v>
      </c>
      <c r="L11" s="1266">
        <f>+G11-F11</f>
        <v>-375.11400000000003</v>
      </c>
      <c r="M11" s="1266">
        <f>+I11-F11</f>
        <v>-0.014000000000010004</v>
      </c>
      <c r="N11" s="265"/>
      <c r="O11" s="1349" t="s">
        <v>3559</v>
      </c>
      <c r="P11" s="1266">
        <v>275.086</v>
      </c>
      <c r="Q11" s="1262">
        <f>+G11/P11</f>
        <v>0.4539889343696153</v>
      </c>
      <c r="R11" s="1321">
        <v>3</v>
      </c>
      <c r="S11" s="1321">
        <v>1</v>
      </c>
      <c r="T11" s="1367" t="s">
        <v>3560</v>
      </c>
      <c r="U11" s="1367" t="s">
        <v>3560</v>
      </c>
    </row>
    <row r="12" spans="2:21" ht="21.75" customHeight="1">
      <c r="B12" s="1295" t="s">
        <v>3561</v>
      </c>
      <c r="C12" s="1296">
        <v>4660</v>
      </c>
      <c r="D12" s="1296">
        <v>7596.39</v>
      </c>
      <c r="E12" s="1296">
        <v>0</v>
      </c>
      <c r="F12" s="1296">
        <f>+D12+E12</f>
        <v>7596.39</v>
      </c>
      <c r="G12" s="1296">
        <v>7430.995</v>
      </c>
      <c r="H12" s="1296">
        <v>165.4</v>
      </c>
      <c r="I12" s="1296">
        <f>+G12+H12</f>
        <v>7596.3949999999995</v>
      </c>
      <c r="J12" s="1296">
        <f>+G12-D12</f>
        <v>-165.39500000000044</v>
      </c>
      <c r="K12" s="1296">
        <f>+I12-D12</f>
        <v>0.004999999999199645</v>
      </c>
      <c r="L12" s="1266">
        <f>+G12-F12</f>
        <v>-165.39500000000044</v>
      </c>
      <c r="M12" s="1266">
        <f>+I12-F12</f>
        <v>0.004999999999199645</v>
      </c>
      <c r="N12" s="265"/>
      <c r="O12" s="1349" t="s">
        <v>3561</v>
      </c>
      <c r="P12" s="1266">
        <v>7798</v>
      </c>
      <c r="Q12" s="1262">
        <f>+G12/P12</f>
        <v>0.9529360092331367</v>
      </c>
      <c r="R12" s="1318">
        <v>74</v>
      </c>
      <c r="S12" s="1318">
        <v>81</v>
      </c>
      <c r="T12" s="1365">
        <f>G12/R12</f>
        <v>100.41885135135135</v>
      </c>
      <c r="U12" s="1366">
        <f>P12/S12</f>
        <v>96.27160493827161</v>
      </c>
    </row>
    <row r="13" spans="2:21" ht="21.75" customHeight="1">
      <c r="B13" s="1295" t="s">
        <v>3562</v>
      </c>
      <c r="C13" s="1296">
        <v>220480</v>
      </c>
      <c r="D13" s="1296">
        <v>198299.61</v>
      </c>
      <c r="E13" s="1296">
        <v>52.25</v>
      </c>
      <c r="F13" s="1296">
        <f>+D13+E13</f>
        <v>198351.86</v>
      </c>
      <c r="G13" s="1296">
        <v>111968.051</v>
      </c>
      <c r="H13" s="1296">
        <v>86378.304</v>
      </c>
      <c r="I13" s="1296">
        <f>+G13+H13</f>
        <v>198346.355</v>
      </c>
      <c r="J13" s="1296">
        <f>+G13-D13</f>
        <v>-86331.55899999998</v>
      </c>
      <c r="K13" s="1296">
        <f>+I13-D13</f>
        <v>46.74500000002445</v>
      </c>
      <c r="L13" s="1266">
        <f>+G13-F13+0.01</f>
        <v>-86383.79899999998</v>
      </c>
      <c r="M13" s="1266">
        <f>+I13-F13+0.01</f>
        <v>-5.494999999975553</v>
      </c>
      <c r="N13" s="265"/>
      <c r="O13" s="1349" t="s">
        <v>3562</v>
      </c>
      <c r="P13" s="1266">
        <v>131901.982</v>
      </c>
      <c r="Q13" s="1262">
        <f>+G13/P13</f>
        <v>0.8488731503670659</v>
      </c>
      <c r="R13" s="1318">
        <v>1018</v>
      </c>
      <c r="S13" s="1318">
        <v>1269</v>
      </c>
      <c r="T13" s="1365">
        <f>G13/R13</f>
        <v>109.9882622789784</v>
      </c>
      <c r="U13" s="1366">
        <f>P13/S13</f>
        <v>103.94167218282111</v>
      </c>
    </row>
    <row r="14" spans="2:21" ht="21.75" customHeight="1">
      <c r="B14" s="1295"/>
      <c r="C14" s="1296"/>
      <c r="D14" s="1296"/>
      <c r="E14" s="1296"/>
      <c r="F14" s="1296"/>
      <c r="G14" s="1296"/>
      <c r="H14" s="1296"/>
      <c r="I14" s="1296"/>
      <c r="J14" s="1296"/>
      <c r="K14" s="1296"/>
      <c r="L14" s="1266"/>
      <c r="M14" s="1266"/>
      <c r="N14" s="265"/>
      <c r="O14" s="1349"/>
      <c r="P14" s="1266"/>
      <c r="Q14" s="1262"/>
      <c r="R14" s="1318"/>
      <c r="S14" s="1319"/>
      <c r="T14" s="1318"/>
      <c r="U14" s="1267"/>
    </row>
    <row r="15" spans="2:21" ht="21.75" customHeight="1" thickBot="1">
      <c r="B15" s="1314"/>
      <c r="C15" s="1315"/>
      <c r="D15" s="1315"/>
      <c r="E15" s="1315"/>
      <c r="F15" s="1315"/>
      <c r="G15" s="1315"/>
      <c r="H15" s="1315"/>
      <c r="I15" s="1299"/>
      <c r="J15" s="1350"/>
      <c r="K15" s="1350"/>
      <c r="L15" s="1299"/>
      <c r="M15" s="1299"/>
      <c r="N15" s="1351"/>
      <c r="O15" s="1352"/>
      <c r="P15" s="1299"/>
      <c r="Q15" s="1350"/>
      <c r="R15" s="1323"/>
      <c r="S15" s="1322"/>
      <c r="T15" s="1323"/>
      <c r="U15" s="1273"/>
    </row>
    <row r="16" spans="2:21" ht="21.75" customHeight="1">
      <c r="B16" s="1324" t="s">
        <v>3563</v>
      </c>
      <c r="C16" s="1325">
        <f aca="true" t="shared" si="1" ref="C16:H16">SUM(C19:C23)</f>
        <v>114260</v>
      </c>
      <c r="D16" s="1325">
        <f t="shared" si="1"/>
        <v>118114</v>
      </c>
      <c r="E16" s="1325">
        <f t="shared" si="1"/>
        <v>269.82</v>
      </c>
      <c r="F16" s="1325">
        <f t="shared" si="1"/>
        <v>118383.82</v>
      </c>
      <c r="G16" s="1325">
        <f t="shared" si="1"/>
        <v>101820.994</v>
      </c>
      <c r="H16" s="1325">
        <f t="shared" si="1"/>
        <v>16558.794</v>
      </c>
      <c r="I16" s="1325">
        <f>+G16+H16</f>
        <v>118379.788</v>
      </c>
      <c r="J16" s="1325">
        <f>SUM(J19:J23)</f>
        <v>-16293.006000000001</v>
      </c>
      <c r="K16" s="1353">
        <f>+I16-D16</f>
        <v>265.78800000000047</v>
      </c>
      <c r="L16" s="1325">
        <f>SUM(L19:L23)</f>
        <v>-16562.816000000003</v>
      </c>
      <c r="M16" s="1325">
        <f>+I16-F16+0.01</f>
        <v>-4.0220000000065195</v>
      </c>
      <c r="N16" s="265"/>
      <c r="O16" s="1354" t="s">
        <v>3563</v>
      </c>
      <c r="P16" s="1355">
        <f>SUM(P19:P23)</f>
        <v>94665.87400000001</v>
      </c>
      <c r="Q16" s="1307">
        <f>+G16/P16</f>
        <v>1.0755828863947319</v>
      </c>
      <c r="R16" s="1326" t="s">
        <v>3560</v>
      </c>
      <c r="S16" s="1327" t="s">
        <v>3560</v>
      </c>
      <c r="T16" s="1326" t="s">
        <v>3560</v>
      </c>
      <c r="U16" s="1328" t="s">
        <v>3560</v>
      </c>
    </row>
    <row r="17" spans="2:21" ht="21.75" customHeight="1" thickBot="1">
      <c r="B17" s="1298" t="s">
        <v>3564</v>
      </c>
      <c r="C17" s="1299"/>
      <c r="D17" s="1299"/>
      <c r="E17" s="1329"/>
      <c r="F17" s="1329"/>
      <c r="G17" s="1329"/>
      <c r="H17" s="1329"/>
      <c r="I17" s="1356"/>
      <c r="J17" s="1329"/>
      <c r="K17" s="1356"/>
      <c r="L17" s="1329"/>
      <c r="M17" s="1329"/>
      <c r="N17" s="265"/>
      <c r="O17" s="1357" t="s">
        <v>3564</v>
      </c>
      <c r="P17" s="1299"/>
      <c r="Q17" s="1300"/>
      <c r="R17" s="1330"/>
      <c r="S17" s="1322"/>
      <c r="T17" s="1323"/>
      <c r="U17" s="1273"/>
    </row>
    <row r="18" spans="2:21" ht="21.75" customHeight="1">
      <c r="B18" s="1295" t="s">
        <v>3540</v>
      </c>
      <c r="C18" s="1296"/>
      <c r="D18" s="1296"/>
      <c r="E18" s="1296"/>
      <c r="F18" s="1296"/>
      <c r="G18" s="1296"/>
      <c r="H18" s="1296"/>
      <c r="I18" s="1296"/>
      <c r="J18" s="1358"/>
      <c r="K18" s="1266"/>
      <c r="L18" s="1266"/>
      <c r="M18" s="1266"/>
      <c r="N18" s="265"/>
      <c r="O18" s="1349" t="s">
        <v>3540</v>
      </c>
      <c r="P18" s="1359"/>
      <c r="Q18" s="1325"/>
      <c r="R18" s="1331"/>
      <c r="S18" s="1332"/>
      <c r="T18" s="1333"/>
      <c r="U18" s="1331"/>
    </row>
    <row r="19" spans="2:21" ht="21.75" customHeight="1">
      <c r="B19" s="1295" t="s">
        <v>3565</v>
      </c>
      <c r="C19" s="1296">
        <v>84490</v>
      </c>
      <c r="D19" s="1296">
        <v>81882</v>
      </c>
      <c r="E19" s="1296">
        <v>211.33</v>
      </c>
      <c r="F19" s="1296">
        <f>+D19+E19</f>
        <v>82093.33</v>
      </c>
      <c r="G19" s="1296">
        <v>71879</v>
      </c>
      <c r="H19" s="1296">
        <v>10219.93</v>
      </c>
      <c r="I19" s="1296">
        <f>+G19+H19</f>
        <v>82098.93</v>
      </c>
      <c r="J19" s="1296">
        <f>+G19-D19</f>
        <v>-10003</v>
      </c>
      <c r="K19" s="1296">
        <f>+I19-D19</f>
        <v>216.92999999999302</v>
      </c>
      <c r="L19" s="1266">
        <f>+G19-F19</f>
        <v>-10214.330000000002</v>
      </c>
      <c r="M19" s="1266">
        <f>+I19-F19</f>
        <v>5.599999999991269</v>
      </c>
      <c r="N19" s="265"/>
      <c r="O19" s="1349" t="s">
        <v>3565</v>
      </c>
      <c r="P19" s="1345">
        <v>68447.92</v>
      </c>
      <c r="Q19" s="1345">
        <f>+G19/P19</f>
        <v>1.0501268701810078</v>
      </c>
      <c r="R19" s="1331" t="s">
        <v>3560</v>
      </c>
      <c r="S19" s="1332" t="s">
        <v>3560</v>
      </c>
      <c r="T19" s="1333" t="s">
        <v>3560</v>
      </c>
      <c r="U19" s="1331" t="s">
        <v>3560</v>
      </c>
    </row>
    <row r="20" spans="2:21" ht="21.75" customHeight="1">
      <c r="B20" s="1295" t="s">
        <v>3566</v>
      </c>
      <c r="C20" s="1296">
        <v>22510</v>
      </c>
      <c r="D20" s="1296">
        <v>28972</v>
      </c>
      <c r="E20" s="1296">
        <v>58.49</v>
      </c>
      <c r="F20" s="1296">
        <f>+D20+E20</f>
        <v>29030.49</v>
      </c>
      <c r="G20" s="1296">
        <v>23122</v>
      </c>
      <c r="H20" s="1296">
        <v>5898.858</v>
      </c>
      <c r="I20" s="1296">
        <f>G20+H20</f>
        <v>29020.858</v>
      </c>
      <c r="J20" s="1296">
        <f>+G20-D20</f>
        <v>-5850</v>
      </c>
      <c r="K20" s="1296">
        <f>+I20-D20</f>
        <v>48.858000000000175</v>
      </c>
      <c r="L20" s="1266">
        <f>+G20-F20+0.01</f>
        <v>-5908.480000000001</v>
      </c>
      <c r="M20" s="1266">
        <f>+I20-F20</f>
        <v>-9.632000000001426</v>
      </c>
      <c r="N20" s="265"/>
      <c r="O20" s="1349" t="s">
        <v>3566</v>
      </c>
      <c r="P20" s="1266">
        <v>19856.46</v>
      </c>
      <c r="Q20" s="1345">
        <f>+G20/P20</f>
        <v>1.1644573101146931</v>
      </c>
      <c r="R20" s="1331" t="s">
        <v>3560</v>
      </c>
      <c r="S20" s="1332" t="s">
        <v>3560</v>
      </c>
      <c r="T20" s="1333" t="s">
        <v>3560</v>
      </c>
      <c r="U20" s="1331" t="s">
        <v>3560</v>
      </c>
    </row>
    <row r="21" spans="2:21" ht="21.75" customHeight="1">
      <c r="B21" s="1295" t="s">
        <v>3567</v>
      </c>
      <c r="C21" s="1296">
        <v>0</v>
      </c>
      <c r="D21" s="1296">
        <v>0</v>
      </c>
      <c r="E21" s="1296">
        <v>0</v>
      </c>
      <c r="F21" s="1296">
        <f>+D21+E21</f>
        <v>0</v>
      </c>
      <c r="G21" s="1296">
        <v>0</v>
      </c>
      <c r="H21" s="1296">
        <v>0</v>
      </c>
      <c r="I21" s="1296">
        <f>G21+H21</f>
        <v>0</v>
      </c>
      <c r="J21" s="1296">
        <f>+G21-D21</f>
        <v>0</v>
      </c>
      <c r="K21" s="1296">
        <f>+I21-D21</f>
        <v>0</v>
      </c>
      <c r="L21" s="1266">
        <f>+G21-F21</f>
        <v>0</v>
      </c>
      <c r="M21" s="1266">
        <f>+I21-F21+0.01</f>
        <v>0.01</v>
      </c>
      <c r="N21" s="265"/>
      <c r="O21" s="1349" t="s">
        <v>3567</v>
      </c>
      <c r="P21" s="1266">
        <v>0</v>
      </c>
      <c r="Q21" s="1345">
        <f>IF(P21=0,0,(+G21/P21))</f>
        <v>0</v>
      </c>
      <c r="R21" s="1331" t="s">
        <v>3560</v>
      </c>
      <c r="S21" s="1332" t="s">
        <v>3560</v>
      </c>
      <c r="T21" s="1333" t="s">
        <v>3560</v>
      </c>
      <c r="U21" s="1331" t="s">
        <v>3560</v>
      </c>
    </row>
    <row r="22" spans="2:21" ht="21.75" customHeight="1">
      <c r="B22" s="1295" t="s">
        <v>3568</v>
      </c>
      <c r="C22" s="1296">
        <v>7260</v>
      </c>
      <c r="D22" s="1296">
        <v>7260</v>
      </c>
      <c r="E22" s="1296">
        <v>0</v>
      </c>
      <c r="F22" s="1296">
        <f>+D22+E22</f>
        <v>7260</v>
      </c>
      <c r="G22" s="1296">
        <v>6819.994</v>
      </c>
      <c r="H22" s="1296">
        <v>440.006</v>
      </c>
      <c r="I22" s="1296">
        <f>+G22+H22</f>
        <v>7260</v>
      </c>
      <c r="J22" s="1296">
        <f>+G22-D22</f>
        <v>-440.0060000000003</v>
      </c>
      <c r="K22" s="1296">
        <f>+I22-D22</f>
        <v>0</v>
      </c>
      <c r="L22" s="1266">
        <f>+G22-F22</f>
        <v>-440.0060000000003</v>
      </c>
      <c r="M22" s="1266">
        <f>+I22-F22</f>
        <v>0</v>
      </c>
      <c r="N22" s="265"/>
      <c r="O22" s="1349" t="s">
        <v>3568</v>
      </c>
      <c r="P22" s="1266">
        <v>6361.494</v>
      </c>
      <c r="Q22" s="1345">
        <f>+G22/P22</f>
        <v>1.072074264315898</v>
      </c>
      <c r="R22" s="1331" t="s">
        <v>3560</v>
      </c>
      <c r="S22" s="1332" t="s">
        <v>3560</v>
      </c>
      <c r="T22" s="1333" t="s">
        <v>3560</v>
      </c>
      <c r="U22" s="1331" t="s">
        <v>3560</v>
      </c>
    </row>
    <row r="23" spans="2:21" ht="21.75" customHeight="1">
      <c r="B23" s="1295" t="s">
        <v>3569</v>
      </c>
      <c r="C23" s="1296">
        <v>0</v>
      </c>
      <c r="D23" s="1296">
        <v>0</v>
      </c>
      <c r="E23" s="1296">
        <v>0</v>
      </c>
      <c r="F23" s="1296">
        <f>+D23+E23</f>
        <v>0</v>
      </c>
      <c r="G23" s="1296">
        <v>0</v>
      </c>
      <c r="H23" s="1296">
        <v>0</v>
      </c>
      <c r="I23" s="1296">
        <f>+G23+H23</f>
        <v>0</v>
      </c>
      <c r="J23" s="1296">
        <f>+G23-D23</f>
        <v>0</v>
      </c>
      <c r="K23" s="1296">
        <f>+I23-D23</f>
        <v>0</v>
      </c>
      <c r="L23" s="1266">
        <f>+G23-F23</f>
        <v>0</v>
      </c>
      <c r="M23" s="1266">
        <f>+I23-F23</f>
        <v>0</v>
      </c>
      <c r="N23" s="265"/>
      <c r="O23" s="1360" t="s">
        <v>3569</v>
      </c>
      <c r="P23" s="1296">
        <v>0</v>
      </c>
      <c r="Q23" s="1345">
        <f>IF(P23=0,0,(+G23/P23))</f>
        <v>0</v>
      </c>
      <c r="R23" s="1331" t="s">
        <v>3560</v>
      </c>
      <c r="S23" s="1332" t="s">
        <v>3560</v>
      </c>
      <c r="T23" s="1333" t="s">
        <v>3560</v>
      </c>
      <c r="U23" s="1331" t="s">
        <v>3560</v>
      </c>
    </row>
    <row r="24" spans="2:21" ht="21.75" customHeight="1" thickBot="1">
      <c r="B24" s="1314"/>
      <c r="C24" s="1315"/>
      <c r="D24" s="1315"/>
      <c r="E24" s="1315"/>
      <c r="F24" s="1315"/>
      <c r="G24" s="1315"/>
      <c r="H24" s="1315"/>
      <c r="I24" s="1315"/>
      <c r="J24" s="1361"/>
      <c r="K24" s="1355"/>
      <c r="L24" s="1355"/>
      <c r="M24" s="1355"/>
      <c r="N24" s="265"/>
      <c r="O24" s="1352"/>
      <c r="P24" s="1362"/>
      <c r="Q24" s="1299"/>
      <c r="R24" s="1334"/>
      <c r="S24" s="1335"/>
      <c r="T24" s="1336"/>
      <c r="U24" s="1334"/>
    </row>
    <row r="25" spans="2:21" ht="21.75" customHeight="1" thickBot="1">
      <c r="B25" s="1337" t="s">
        <v>2784</v>
      </c>
      <c r="C25" s="1338">
        <f aca="true" t="shared" si="2" ref="C25:M25">+C7+C16</f>
        <v>1890900</v>
      </c>
      <c r="D25" s="1338">
        <f t="shared" si="2"/>
        <v>1842099</v>
      </c>
      <c r="E25" s="1338">
        <f t="shared" si="2"/>
        <v>322.07</v>
      </c>
      <c r="F25" s="1338">
        <f t="shared" si="2"/>
        <v>1842421.07</v>
      </c>
      <c r="G25" s="1338">
        <f t="shared" si="2"/>
        <v>1718663.634</v>
      </c>
      <c r="H25" s="1338">
        <f t="shared" si="2"/>
        <v>123747.89800000002</v>
      </c>
      <c r="I25" s="1338">
        <f t="shared" si="2"/>
        <v>1842411.5320000001</v>
      </c>
      <c r="J25" s="1338">
        <f t="shared" si="2"/>
        <v>-123435.36599999989</v>
      </c>
      <c r="K25" s="1338">
        <f t="shared" si="2"/>
        <v>312.53200000017125</v>
      </c>
      <c r="L25" s="1338">
        <f t="shared" si="2"/>
        <v>-123757.4159999999</v>
      </c>
      <c r="M25" s="1338">
        <f t="shared" si="2"/>
        <v>-9.517999999835734</v>
      </c>
      <c r="N25" s="265"/>
      <c r="O25" s="1352" t="s">
        <v>2784</v>
      </c>
      <c r="P25" s="1279">
        <f>+P7+P16</f>
        <v>1699083.009</v>
      </c>
      <c r="Q25" s="1299">
        <f>+G25/P25</f>
        <v>1.0115242309506256</v>
      </c>
      <c r="R25" s="1339" t="s">
        <v>3560</v>
      </c>
      <c r="S25" s="1339" t="s">
        <v>3560</v>
      </c>
      <c r="T25" s="1339" t="s">
        <v>3560</v>
      </c>
      <c r="U25" s="1339" t="s">
        <v>3560</v>
      </c>
    </row>
    <row r="26" spans="3:19" ht="45" customHeight="1">
      <c r="C26" s="264"/>
      <c r="D26" s="264"/>
      <c r="E26" s="1200"/>
      <c r="F26" s="1200"/>
      <c r="G26" s="1201"/>
      <c r="H26" s="1200"/>
      <c r="I26" s="1200"/>
      <c r="J26" s="1200"/>
      <c r="K26" s="1200"/>
      <c r="L26" s="1200"/>
      <c r="M26" s="1200"/>
      <c r="P26" s="1192"/>
      <c r="Q26" s="1192"/>
      <c r="R26" s="1192"/>
      <c r="S26" s="1192"/>
    </row>
    <row r="27" spans="2:28" ht="18" customHeight="1">
      <c r="B27" s="1340" t="s">
        <v>3721</v>
      </c>
      <c r="N27" s="1190"/>
      <c r="O27" s="144" t="s">
        <v>3570</v>
      </c>
      <c r="P27" s="1341" t="s">
        <v>3602</v>
      </c>
      <c r="S27"/>
      <c r="T27" s="1858" t="s">
        <v>3510</v>
      </c>
      <c r="U27" s="1858"/>
      <c r="AB27" s="1190"/>
    </row>
    <row r="28" spans="2:28" ht="18" customHeight="1">
      <c r="B28" s="1340" t="s">
        <v>3722</v>
      </c>
      <c r="N28" s="1190"/>
      <c r="O28" s="144" t="s">
        <v>3548</v>
      </c>
      <c r="AB28" s="1190"/>
    </row>
    <row r="29" spans="14:28" ht="18" customHeight="1">
      <c r="N29" s="1190"/>
      <c r="AB29" s="1190"/>
    </row>
    <row r="30" spans="2:28" ht="18" customHeight="1">
      <c r="B30" s="182"/>
      <c r="N30" s="1190"/>
      <c r="O30" s="182"/>
      <c r="AB30" s="1190"/>
    </row>
    <row r="31" spans="2:28" ht="18" customHeight="1">
      <c r="B31" s="182"/>
      <c r="N31" s="1190"/>
      <c r="O31" s="182"/>
      <c r="AB31" s="1190"/>
    </row>
    <row r="32" spans="2:28" ht="15">
      <c r="B32" s="1192"/>
      <c r="N32" s="1190"/>
      <c r="O32" s="1192"/>
      <c r="AB32" s="1190"/>
    </row>
    <row r="33" spans="2:28" ht="15">
      <c r="B33" s="1192"/>
      <c r="N33" s="1190"/>
      <c r="O33" s="1192"/>
      <c r="AB33" s="1190"/>
    </row>
    <row r="34" spans="2:28" ht="15">
      <c r="B34" s="1192"/>
      <c r="N34" s="1190"/>
      <c r="O34" s="1192"/>
      <c r="AB34" s="1190"/>
    </row>
    <row r="35" spans="14:28" ht="15">
      <c r="N35" s="1190"/>
      <c r="AB35" s="1190"/>
    </row>
  </sheetData>
  <mergeCells count="19">
    <mergeCell ref="B4:B5"/>
    <mergeCell ref="C4:C5"/>
    <mergeCell ref="D4:D5"/>
    <mergeCell ref="E4:E5"/>
    <mergeCell ref="P4:P5"/>
    <mergeCell ref="F4:F5"/>
    <mergeCell ref="G4:G5"/>
    <mergeCell ref="H4:H5"/>
    <mergeCell ref="I4:I5"/>
    <mergeCell ref="U4:U5"/>
    <mergeCell ref="B2:U2"/>
    <mergeCell ref="T27:U27"/>
    <mergeCell ref="Q4:Q5"/>
    <mergeCell ref="R4:R5"/>
    <mergeCell ref="S4:S5"/>
    <mergeCell ref="T4:T5"/>
    <mergeCell ref="J4:K4"/>
    <mergeCell ref="L4:M4"/>
    <mergeCell ref="O4:O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7" r:id="rId1"/>
  <headerFooter alignWithMargins="0">
    <oddFooter>&amp;C&amp;14&amp;P+79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31">
      <selection activeCell="A42" sqref="A42"/>
    </sheetView>
  </sheetViews>
  <sheetFormatPr defaultColWidth="9.00390625" defaultRowHeight="12.75"/>
  <cols>
    <col min="1" max="1" width="43.875" style="584" customWidth="1"/>
    <col min="2" max="2" width="17.375" style="221" customWidth="1"/>
    <col min="3" max="3" width="15.625" style="221" customWidth="1"/>
    <col min="4" max="4" width="13.50390625" style="221" customWidth="1"/>
    <col min="5" max="6" width="15.00390625" style="221" customWidth="1"/>
    <col min="7" max="7" width="13.375" style="221" customWidth="1"/>
    <col min="8" max="8" width="14.50390625" style="221" customWidth="1"/>
    <col min="9" max="9" width="16.50390625" style="221" customWidth="1"/>
    <col min="10" max="10" width="15.375" style="221" customWidth="1"/>
    <col min="11" max="11" width="15.625" style="221" customWidth="1"/>
    <col min="12" max="12" width="16.50390625" style="221" customWidth="1"/>
    <col min="13" max="13" width="14.625" style="221" customWidth="1"/>
    <col min="14" max="14" width="20.125" style="221" customWidth="1"/>
    <col min="15" max="15" width="10.375" style="584" customWidth="1"/>
    <col min="16" max="16384" width="8.875" style="584" customWidth="1"/>
  </cols>
  <sheetData>
    <row r="1" spans="1:4" ht="15">
      <c r="A1" s="1344"/>
      <c r="B1" s="193"/>
      <c r="C1" s="193"/>
      <c r="D1" s="193"/>
    </row>
    <row r="2" spans="1:14" ht="18">
      <c r="A2" s="1368" t="s">
        <v>3609</v>
      </c>
      <c r="B2" s="1343"/>
      <c r="C2" s="585"/>
      <c r="D2" s="585"/>
      <c r="N2" s="1075" t="s">
        <v>3610</v>
      </c>
    </row>
    <row r="3" spans="1:14" ht="21" customHeight="1">
      <c r="A3" s="1843" t="s">
        <v>2738</v>
      </c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</row>
    <row r="4" spans="1:14" s="589" customFormat="1" ht="17.25" customHeight="1" thickBot="1">
      <c r="A4" s="584"/>
      <c r="B4" s="587"/>
      <c r="C4" s="588"/>
      <c r="D4" s="588"/>
      <c r="E4" s="221"/>
      <c r="F4" s="221"/>
      <c r="G4" s="221"/>
      <c r="H4" s="221"/>
      <c r="I4" s="221"/>
      <c r="J4" s="221"/>
      <c r="K4" s="221"/>
      <c r="L4" s="221"/>
      <c r="M4" s="221"/>
      <c r="N4" s="1312" t="s">
        <v>2575</v>
      </c>
    </row>
    <row r="5" spans="1:14" s="589" customFormat="1" ht="54" customHeight="1" thickBot="1">
      <c r="A5" s="1844" t="s">
        <v>2739</v>
      </c>
      <c r="B5" s="1850" t="s">
        <v>2740</v>
      </c>
      <c r="C5" s="1850" t="s">
        <v>2741</v>
      </c>
      <c r="D5" s="1850" t="s">
        <v>2742</v>
      </c>
      <c r="E5" s="1850" t="s">
        <v>3612</v>
      </c>
      <c r="F5" s="1850" t="s">
        <v>2743</v>
      </c>
      <c r="G5" s="1850" t="s">
        <v>2744</v>
      </c>
      <c r="H5" s="1850" t="s">
        <v>2745</v>
      </c>
      <c r="I5" s="1852" t="s">
        <v>2746</v>
      </c>
      <c r="J5" s="1846"/>
      <c r="K5" s="1852" t="s">
        <v>2747</v>
      </c>
      <c r="L5" s="1846"/>
      <c r="M5" s="1850" t="s">
        <v>2748</v>
      </c>
      <c r="N5" s="1850" t="s">
        <v>3611</v>
      </c>
    </row>
    <row r="6" spans="1:14" s="589" customFormat="1" ht="66.75" customHeight="1" thickBot="1">
      <c r="A6" s="1845"/>
      <c r="B6" s="1851"/>
      <c r="C6" s="1851"/>
      <c r="D6" s="1851"/>
      <c r="E6" s="1851"/>
      <c r="F6" s="1851"/>
      <c r="G6" s="1851"/>
      <c r="H6" s="1851"/>
      <c r="I6" s="592" t="s">
        <v>2749</v>
      </c>
      <c r="J6" s="593" t="s">
        <v>2750</v>
      </c>
      <c r="K6" s="592" t="s">
        <v>2751</v>
      </c>
      <c r="L6" s="593" t="s">
        <v>2752</v>
      </c>
      <c r="M6" s="1851"/>
      <c r="N6" s="1851"/>
    </row>
    <row r="7" spans="1:14" ht="15.75" thickBot="1">
      <c r="A7" s="594"/>
      <c r="B7" s="595">
        <v>1</v>
      </c>
      <c r="C7" s="596">
        <v>2</v>
      </c>
      <c r="D7" s="595">
        <v>3</v>
      </c>
      <c r="E7" s="596">
        <v>4</v>
      </c>
      <c r="F7" s="595">
        <v>5</v>
      </c>
      <c r="G7" s="596">
        <v>6</v>
      </c>
      <c r="H7" s="595">
        <v>7</v>
      </c>
      <c r="I7" s="596">
        <v>8</v>
      </c>
      <c r="J7" s="595">
        <v>9</v>
      </c>
      <c r="K7" s="596">
        <v>10</v>
      </c>
      <c r="L7" s="595">
        <v>11</v>
      </c>
      <c r="M7" s="597">
        <v>12</v>
      </c>
      <c r="N7" s="598">
        <v>13</v>
      </c>
    </row>
    <row r="8" spans="1:14" ht="15">
      <c r="A8" s="599" t="s">
        <v>2753</v>
      </c>
      <c r="B8" s="600">
        <v>7150</v>
      </c>
      <c r="C8" s="600">
        <v>58301</v>
      </c>
      <c r="D8" s="600"/>
      <c r="E8" s="601">
        <f aca="true" t="shared" si="0" ref="E8:E38">+C8+D8</f>
        <v>58301</v>
      </c>
      <c r="F8" s="602">
        <v>58295.069</v>
      </c>
      <c r="G8" s="601"/>
      <c r="H8" s="600">
        <f aca="true" t="shared" si="1" ref="H8:H38">+F8+G8</f>
        <v>58295.069</v>
      </c>
      <c r="I8" s="601">
        <f aca="true" t="shared" si="2" ref="I8:I38">+F8-C8</f>
        <v>-5.930999999996857</v>
      </c>
      <c r="J8" s="600">
        <f aca="true" t="shared" si="3" ref="J8:J38">+H8-C8</f>
        <v>-5.930999999996857</v>
      </c>
      <c r="K8" s="601">
        <f aca="true" t="shared" si="4" ref="K8:K38">+F8-E8</f>
        <v>-5.930999999996857</v>
      </c>
      <c r="L8" s="600">
        <f aca="true" t="shared" si="5" ref="L8:L38">+H8-E8</f>
        <v>-5.930999999996857</v>
      </c>
      <c r="M8" s="602">
        <v>5639.46</v>
      </c>
      <c r="N8" s="603">
        <f aca="true" t="shared" si="6" ref="N8:N39">+F8/M8</f>
        <v>10.336994854117238</v>
      </c>
    </row>
    <row r="9" spans="1:14" ht="15" customHeight="1">
      <c r="A9" s="604" t="s">
        <v>2754</v>
      </c>
      <c r="B9" s="605">
        <v>4000</v>
      </c>
      <c r="C9" s="605">
        <v>48189</v>
      </c>
      <c r="D9" s="605"/>
      <c r="E9" s="601">
        <f t="shared" si="0"/>
        <v>48189</v>
      </c>
      <c r="F9" s="602">
        <v>48184.157</v>
      </c>
      <c r="G9" s="601"/>
      <c r="H9" s="600">
        <f t="shared" si="1"/>
        <v>48184.157</v>
      </c>
      <c r="I9" s="601">
        <f t="shared" si="2"/>
        <v>-4.843000000000757</v>
      </c>
      <c r="J9" s="600">
        <f t="shared" si="3"/>
        <v>-4.843000000000757</v>
      </c>
      <c r="K9" s="601">
        <f t="shared" si="4"/>
        <v>-4.843000000000757</v>
      </c>
      <c r="L9" s="600">
        <f t="shared" si="5"/>
        <v>-4.843000000000757</v>
      </c>
      <c r="M9" s="606">
        <v>1302.46</v>
      </c>
      <c r="N9" s="603">
        <f t="shared" si="6"/>
        <v>36.994730740291445</v>
      </c>
    </row>
    <row r="10" spans="1:14" ht="15" customHeight="1">
      <c r="A10" s="604" t="s">
        <v>2755</v>
      </c>
      <c r="B10" s="605">
        <v>150</v>
      </c>
      <c r="C10" s="605">
        <v>114</v>
      </c>
      <c r="D10" s="605"/>
      <c r="E10" s="601">
        <f t="shared" si="0"/>
        <v>114</v>
      </c>
      <c r="F10" s="602">
        <v>113.4</v>
      </c>
      <c r="G10" s="601"/>
      <c r="H10" s="600">
        <f t="shared" si="1"/>
        <v>113.4</v>
      </c>
      <c r="I10" s="601">
        <f t="shared" si="2"/>
        <v>-0.5999999999999943</v>
      </c>
      <c r="J10" s="600">
        <f t="shared" si="3"/>
        <v>-0.5999999999999943</v>
      </c>
      <c r="K10" s="601">
        <f t="shared" si="4"/>
        <v>-0.5999999999999943</v>
      </c>
      <c r="L10" s="600">
        <f t="shared" si="5"/>
        <v>-0.5999999999999943</v>
      </c>
      <c r="M10" s="606">
        <v>135.45</v>
      </c>
      <c r="N10" s="603">
        <f t="shared" si="6"/>
        <v>0.8372093023255816</v>
      </c>
    </row>
    <row r="11" spans="1:14" ht="15">
      <c r="A11" s="604" t="s">
        <v>2756</v>
      </c>
      <c r="B11" s="605">
        <v>3000</v>
      </c>
      <c r="C11" s="605">
        <v>9998</v>
      </c>
      <c r="D11" s="605"/>
      <c r="E11" s="601">
        <f t="shared" si="0"/>
        <v>9998</v>
      </c>
      <c r="F11" s="602">
        <v>9997.512</v>
      </c>
      <c r="G11" s="601"/>
      <c r="H11" s="600">
        <f t="shared" si="1"/>
        <v>9997.512</v>
      </c>
      <c r="I11" s="601">
        <f t="shared" si="2"/>
        <v>-0.48799999999937427</v>
      </c>
      <c r="J11" s="600">
        <f t="shared" si="3"/>
        <v>-0.48799999999937427</v>
      </c>
      <c r="K11" s="601">
        <f t="shared" si="4"/>
        <v>-0.48799999999937427</v>
      </c>
      <c r="L11" s="600">
        <f t="shared" si="5"/>
        <v>-0.48799999999937427</v>
      </c>
      <c r="M11" s="606">
        <v>4201.56</v>
      </c>
      <c r="N11" s="603">
        <f t="shared" si="6"/>
        <v>2.3794761945563074</v>
      </c>
    </row>
    <row r="12" spans="1:14" ht="15">
      <c r="A12" s="604" t="s">
        <v>2757</v>
      </c>
      <c r="B12" s="605">
        <v>201780</v>
      </c>
      <c r="C12" s="605">
        <v>196129</v>
      </c>
      <c r="D12" s="605">
        <v>4253.3</v>
      </c>
      <c r="E12" s="601">
        <f t="shared" si="0"/>
        <v>200382.3</v>
      </c>
      <c r="F12" s="602">
        <v>137708.764</v>
      </c>
      <c r="G12" s="601">
        <v>62699</v>
      </c>
      <c r="H12" s="600">
        <f t="shared" si="1"/>
        <v>200407.764</v>
      </c>
      <c r="I12" s="601">
        <f t="shared" si="2"/>
        <v>-58420.236000000004</v>
      </c>
      <c r="J12" s="600">
        <f t="shared" si="3"/>
        <v>4278.763999999996</v>
      </c>
      <c r="K12" s="601">
        <f t="shared" si="4"/>
        <v>-62673.53599999999</v>
      </c>
      <c r="L12" s="600">
        <f t="shared" si="5"/>
        <v>25.464000000007218</v>
      </c>
      <c r="M12" s="606">
        <v>160381</v>
      </c>
      <c r="N12" s="603">
        <f t="shared" si="6"/>
        <v>0.858635150048946</v>
      </c>
    </row>
    <row r="13" spans="1:14" ht="15">
      <c r="A13" s="604" t="s">
        <v>2758</v>
      </c>
      <c r="B13" s="605">
        <v>216566</v>
      </c>
      <c r="C13" s="607">
        <v>178694</v>
      </c>
      <c r="D13" s="605">
        <f>536.315</f>
        <v>536.315</v>
      </c>
      <c r="E13" s="601">
        <f t="shared" si="0"/>
        <v>179230.315</v>
      </c>
      <c r="F13" s="602">
        <f>174183.719+2257.927+333.498+217.24+92.164+118.5+970.941+164.551+356.487</f>
        <v>178695.02699999997</v>
      </c>
      <c r="G13" s="601">
        <f>507.517+3.073+0.059+0.449</f>
        <v>511.098</v>
      </c>
      <c r="H13" s="600">
        <f t="shared" si="1"/>
        <v>179206.12499999997</v>
      </c>
      <c r="I13" s="601">
        <f t="shared" si="2"/>
        <v>1.0269999999727588</v>
      </c>
      <c r="J13" s="600">
        <f t="shared" si="3"/>
        <v>512.1249999999709</v>
      </c>
      <c r="K13" s="601">
        <f t="shared" si="4"/>
        <v>-535.2880000000296</v>
      </c>
      <c r="L13" s="600">
        <f t="shared" si="5"/>
        <v>-24.190000000031432</v>
      </c>
      <c r="M13" s="606">
        <v>174142.67</v>
      </c>
      <c r="N13" s="603">
        <f t="shared" si="6"/>
        <v>1.0261415367066553</v>
      </c>
    </row>
    <row r="14" spans="1:14" ht="15">
      <c r="A14" s="604" t="s">
        <v>2759</v>
      </c>
      <c r="B14" s="605">
        <v>54774</v>
      </c>
      <c r="C14" s="607">
        <v>53510</v>
      </c>
      <c r="D14" s="605"/>
      <c r="E14" s="601">
        <f>+C14+D14</f>
        <v>53510</v>
      </c>
      <c r="F14" s="602">
        <f>48845.257+999.6+1149.809+481.144+95.483+349.993+400+1180</f>
        <v>53501.286</v>
      </c>
      <c r="G14" s="601">
        <v>0.007</v>
      </c>
      <c r="H14" s="600">
        <f t="shared" si="1"/>
        <v>53501.293</v>
      </c>
      <c r="I14" s="601">
        <f t="shared" si="2"/>
        <v>-8.713999999999942</v>
      </c>
      <c r="J14" s="600">
        <f t="shared" si="3"/>
        <v>-8.707000000002154</v>
      </c>
      <c r="K14" s="601">
        <f t="shared" si="4"/>
        <v>-8.713999999999942</v>
      </c>
      <c r="L14" s="600">
        <f t="shared" si="5"/>
        <v>-8.707000000002154</v>
      </c>
      <c r="M14" s="606">
        <v>42662.83</v>
      </c>
      <c r="N14" s="603">
        <f t="shared" si="6"/>
        <v>1.2540491570765464</v>
      </c>
    </row>
    <row r="15" spans="1:14" ht="15">
      <c r="A15" s="604" t="s">
        <v>2760</v>
      </c>
      <c r="B15" s="605">
        <v>193682</v>
      </c>
      <c r="C15" s="607">
        <v>122502</v>
      </c>
      <c r="D15" s="605">
        <v>42171</v>
      </c>
      <c r="E15" s="601">
        <f t="shared" si="0"/>
        <v>164673</v>
      </c>
      <c r="F15" s="602">
        <v>103014.447</v>
      </c>
      <c r="G15" s="601">
        <v>61644</v>
      </c>
      <c r="H15" s="600">
        <f t="shared" si="1"/>
        <v>164658.447</v>
      </c>
      <c r="I15" s="601">
        <f t="shared" si="2"/>
        <v>-19487.553</v>
      </c>
      <c r="J15" s="600">
        <f t="shared" si="3"/>
        <v>42156.446999999986</v>
      </c>
      <c r="K15" s="601">
        <f t="shared" si="4"/>
        <v>-61658.553</v>
      </c>
      <c r="L15" s="600">
        <f t="shared" si="5"/>
        <v>-14.553000000014435</v>
      </c>
      <c r="M15" s="606">
        <v>148775.17</v>
      </c>
      <c r="N15" s="603">
        <f t="shared" si="6"/>
        <v>0.692416933551479</v>
      </c>
    </row>
    <row r="16" spans="1:14" ht="15">
      <c r="A16" s="604" t="s">
        <v>2761</v>
      </c>
      <c r="B16" s="605">
        <v>8000</v>
      </c>
      <c r="C16" s="607">
        <v>12969</v>
      </c>
      <c r="D16" s="605">
        <v>519</v>
      </c>
      <c r="E16" s="601">
        <f t="shared" si="0"/>
        <v>13488</v>
      </c>
      <c r="F16" s="602">
        <v>10836.532</v>
      </c>
      <c r="G16" s="601">
        <v>2533</v>
      </c>
      <c r="H16" s="600">
        <f t="shared" si="1"/>
        <v>13369.532</v>
      </c>
      <c r="I16" s="601">
        <f t="shared" si="2"/>
        <v>-2132.4680000000008</v>
      </c>
      <c r="J16" s="600">
        <f t="shared" si="3"/>
        <v>400.53199999999924</v>
      </c>
      <c r="K16" s="601">
        <f t="shared" si="4"/>
        <v>-2651.4680000000008</v>
      </c>
      <c r="L16" s="600">
        <f t="shared" si="5"/>
        <v>-118.46800000000076</v>
      </c>
      <c r="M16" s="606">
        <v>7480.88</v>
      </c>
      <c r="N16" s="603">
        <f t="shared" si="6"/>
        <v>1.4485638053277152</v>
      </c>
    </row>
    <row r="17" spans="1:14" ht="15">
      <c r="A17" s="604" t="s">
        <v>2762</v>
      </c>
      <c r="B17" s="605">
        <v>24030</v>
      </c>
      <c r="C17" s="607">
        <v>24206</v>
      </c>
      <c r="D17" s="605"/>
      <c r="E17" s="601">
        <f t="shared" si="0"/>
        <v>24206</v>
      </c>
      <c r="F17" s="602">
        <v>24172.406</v>
      </c>
      <c r="G17" s="601"/>
      <c r="H17" s="600">
        <f t="shared" si="1"/>
        <v>24172.406</v>
      </c>
      <c r="I17" s="601">
        <f t="shared" si="2"/>
        <v>-33.59400000000096</v>
      </c>
      <c r="J17" s="600">
        <f t="shared" si="3"/>
        <v>-33.59400000000096</v>
      </c>
      <c r="K17" s="601">
        <f t="shared" si="4"/>
        <v>-33.59400000000096</v>
      </c>
      <c r="L17" s="600">
        <f t="shared" si="5"/>
        <v>-33.59400000000096</v>
      </c>
      <c r="M17" s="606">
        <v>25966.25</v>
      </c>
      <c r="N17" s="603">
        <f t="shared" si="6"/>
        <v>0.9309163240745197</v>
      </c>
    </row>
    <row r="18" spans="1:14" ht="15">
      <c r="A18" s="604" t="s">
        <v>2763</v>
      </c>
      <c r="B18" s="605">
        <v>15000</v>
      </c>
      <c r="C18" s="607">
        <v>20820</v>
      </c>
      <c r="D18" s="605"/>
      <c r="E18" s="601">
        <f t="shared" si="0"/>
        <v>20820</v>
      </c>
      <c r="F18" s="602">
        <v>20820</v>
      </c>
      <c r="G18" s="601"/>
      <c r="H18" s="600">
        <f t="shared" si="1"/>
        <v>20820</v>
      </c>
      <c r="I18" s="601">
        <f t="shared" si="2"/>
        <v>0</v>
      </c>
      <c r="J18" s="600">
        <f t="shared" si="3"/>
        <v>0</v>
      </c>
      <c r="K18" s="601">
        <f t="shared" si="4"/>
        <v>0</v>
      </c>
      <c r="L18" s="600">
        <f t="shared" si="5"/>
        <v>0</v>
      </c>
      <c r="M18" s="606">
        <v>6871.49</v>
      </c>
      <c r="N18" s="603">
        <f t="shared" si="6"/>
        <v>3.0299105434192586</v>
      </c>
    </row>
    <row r="19" spans="1:14" ht="15">
      <c r="A19" s="604" t="s">
        <v>2764</v>
      </c>
      <c r="B19" s="605">
        <v>14850</v>
      </c>
      <c r="C19" s="607">
        <v>15450</v>
      </c>
      <c r="D19" s="605"/>
      <c r="E19" s="601">
        <f t="shared" si="0"/>
        <v>15450</v>
      </c>
      <c r="F19" s="602">
        <v>15447.443</v>
      </c>
      <c r="G19" s="601"/>
      <c r="H19" s="600">
        <f t="shared" si="1"/>
        <v>15447.443</v>
      </c>
      <c r="I19" s="601">
        <f t="shared" si="2"/>
        <v>-2.5570000000006985</v>
      </c>
      <c r="J19" s="600">
        <f t="shared" si="3"/>
        <v>-2.5570000000006985</v>
      </c>
      <c r="K19" s="601">
        <f t="shared" si="4"/>
        <v>-2.5570000000006985</v>
      </c>
      <c r="L19" s="600">
        <f t="shared" si="5"/>
        <v>-2.5570000000006985</v>
      </c>
      <c r="M19" s="606">
        <v>18405</v>
      </c>
      <c r="N19" s="603">
        <f t="shared" si="6"/>
        <v>0.839306873132301</v>
      </c>
    </row>
    <row r="20" spans="1:14" ht="15">
      <c r="A20" s="604" t="s">
        <v>2765</v>
      </c>
      <c r="B20" s="605">
        <v>31914</v>
      </c>
      <c r="C20" s="607">
        <v>31914</v>
      </c>
      <c r="D20" s="605"/>
      <c r="E20" s="601">
        <f t="shared" si="0"/>
        <v>31914</v>
      </c>
      <c r="F20" s="602">
        <v>31902.329</v>
      </c>
      <c r="G20" s="601"/>
      <c r="H20" s="600">
        <f t="shared" si="1"/>
        <v>31902.329</v>
      </c>
      <c r="I20" s="601">
        <f t="shared" si="2"/>
        <v>-11.670999999998457</v>
      </c>
      <c r="J20" s="600">
        <f t="shared" si="3"/>
        <v>-11.670999999998457</v>
      </c>
      <c r="K20" s="601">
        <f t="shared" si="4"/>
        <v>-11.670999999998457</v>
      </c>
      <c r="L20" s="600">
        <f t="shared" si="5"/>
        <v>-11.670999999998457</v>
      </c>
      <c r="M20" s="606">
        <v>62692</v>
      </c>
      <c r="N20" s="603">
        <f t="shared" si="6"/>
        <v>0.5088740030625918</v>
      </c>
    </row>
    <row r="21" spans="1:14" ht="15">
      <c r="A21" s="604" t="s">
        <v>2766</v>
      </c>
      <c r="B21" s="605">
        <v>14000</v>
      </c>
      <c r="C21" s="607">
        <v>6000</v>
      </c>
      <c r="D21" s="605"/>
      <c r="E21" s="601">
        <f t="shared" si="0"/>
        <v>6000</v>
      </c>
      <c r="F21" s="602">
        <v>6000</v>
      </c>
      <c r="G21" s="601"/>
      <c r="H21" s="600">
        <f t="shared" si="1"/>
        <v>6000</v>
      </c>
      <c r="I21" s="601">
        <f t="shared" si="2"/>
        <v>0</v>
      </c>
      <c r="J21" s="600">
        <f t="shared" si="3"/>
        <v>0</v>
      </c>
      <c r="K21" s="601">
        <f t="shared" si="4"/>
        <v>0</v>
      </c>
      <c r="L21" s="600">
        <f t="shared" si="5"/>
        <v>0</v>
      </c>
      <c r="M21" s="605">
        <v>0</v>
      </c>
      <c r="N21" s="603" t="e">
        <f t="shared" si="6"/>
        <v>#DIV/0!</v>
      </c>
    </row>
    <row r="22" spans="1:14" ht="15">
      <c r="A22" s="608" t="s">
        <v>2767</v>
      </c>
      <c r="B22" s="605">
        <v>336280</v>
      </c>
      <c r="C22" s="607">
        <v>140541</v>
      </c>
      <c r="D22" s="605">
        <v>171791.5</v>
      </c>
      <c r="E22" s="601">
        <f t="shared" si="0"/>
        <v>312332.5</v>
      </c>
      <c r="F22" s="602">
        <v>312332.269</v>
      </c>
      <c r="G22" s="601">
        <v>0.231</v>
      </c>
      <c r="H22" s="600">
        <f t="shared" si="1"/>
        <v>312332.5</v>
      </c>
      <c r="I22" s="601">
        <f t="shared" si="2"/>
        <v>171791.26899999997</v>
      </c>
      <c r="J22" s="600">
        <f t="shared" si="3"/>
        <v>171791.5</v>
      </c>
      <c r="K22" s="601">
        <f t="shared" si="4"/>
        <v>-0.231000000028871</v>
      </c>
      <c r="L22" s="600">
        <f t="shared" si="5"/>
        <v>0</v>
      </c>
      <c r="M22" s="606">
        <v>250997.99</v>
      </c>
      <c r="N22" s="603">
        <f t="shared" si="6"/>
        <v>1.2443616341310142</v>
      </c>
    </row>
    <row r="23" spans="1:14" ht="30.75">
      <c r="A23" s="604" t="s">
        <v>2768</v>
      </c>
      <c r="B23" s="605">
        <v>164322</v>
      </c>
      <c r="C23" s="607">
        <v>165818</v>
      </c>
      <c r="D23" s="605">
        <f>0.8+45.331</f>
        <v>46.131</v>
      </c>
      <c r="E23" s="601">
        <f t="shared" si="0"/>
        <v>165864.131</v>
      </c>
      <c r="F23" s="602">
        <f>12910.414+100266.717</f>
        <v>113177.13100000001</v>
      </c>
      <c r="G23" s="601">
        <f>0.57+52685.614</f>
        <v>52686.184</v>
      </c>
      <c r="H23" s="600">
        <f t="shared" si="1"/>
        <v>165863.315</v>
      </c>
      <c r="I23" s="601">
        <f t="shared" si="2"/>
        <v>-52640.86899999999</v>
      </c>
      <c r="J23" s="600">
        <f t="shared" si="3"/>
        <v>45.31500000000233</v>
      </c>
      <c r="K23" s="601">
        <f t="shared" si="4"/>
        <v>-52686.999999999985</v>
      </c>
      <c r="L23" s="600">
        <f t="shared" si="5"/>
        <v>-0.8159999999916181</v>
      </c>
      <c r="M23" s="606">
        <v>155004.47</v>
      </c>
      <c r="N23" s="603">
        <f t="shared" si="6"/>
        <v>0.7301539820109705</v>
      </c>
    </row>
    <row r="24" spans="1:14" ht="15">
      <c r="A24" s="604" t="s">
        <v>2769</v>
      </c>
      <c r="B24" s="605">
        <v>2750</v>
      </c>
      <c r="C24" s="607">
        <v>2750</v>
      </c>
      <c r="D24" s="605"/>
      <c r="E24" s="601">
        <f t="shared" si="0"/>
        <v>2750</v>
      </c>
      <c r="F24" s="602">
        <v>2401.788</v>
      </c>
      <c r="G24" s="601">
        <v>348.212</v>
      </c>
      <c r="H24" s="600">
        <f t="shared" si="1"/>
        <v>2750</v>
      </c>
      <c r="I24" s="601">
        <f t="shared" si="2"/>
        <v>-348.212</v>
      </c>
      <c r="J24" s="600">
        <f t="shared" si="3"/>
        <v>0</v>
      </c>
      <c r="K24" s="601">
        <f t="shared" si="4"/>
        <v>-348.212</v>
      </c>
      <c r="L24" s="600">
        <f t="shared" si="5"/>
        <v>0</v>
      </c>
      <c r="M24" s="606">
        <v>4347.49</v>
      </c>
      <c r="N24" s="603">
        <f t="shared" si="6"/>
        <v>0.5524539446899246</v>
      </c>
    </row>
    <row r="25" spans="1:14" ht="15">
      <c r="A25" s="604" t="s">
        <v>2770</v>
      </c>
      <c r="B25" s="605">
        <v>39500</v>
      </c>
      <c r="C25" s="607">
        <v>32985</v>
      </c>
      <c r="D25" s="605">
        <v>1638.031</v>
      </c>
      <c r="E25" s="601">
        <f t="shared" si="0"/>
        <v>34623.031</v>
      </c>
      <c r="F25" s="602">
        <v>34558.893</v>
      </c>
      <c r="G25" s="601">
        <v>64.138</v>
      </c>
      <c r="H25" s="600">
        <f t="shared" si="1"/>
        <v>34623.030999999995</v>
      </c>
      <c r="I25" s="601">
        <f t="shared" si="2"/>
        <v>1573.8929999999964</v>
      </c>
      <c r="J25" s="600">
        <f t="shared" si="3"/>
        <v>1638.0309999999954</v>
      </c>
      <c r="K25" s="601">
        <f t="shared" si="4"/>
        <v>-64.13800000000629</v>
      </c>
      <c r="L25" s="600">
        <f t="shared" si="5"/>
        <v>0</v>
      </c>
      <c r="M25" s="606">
        <v>59261.32</v>
      </c>
      <c r="N25" s="603">
        <f t="shared" si="6"/>
        <v>0.5831610399498357</v>
      </c>
    </row>
    <row r="26" spans="1:14" ht="15">
      <c r="A26" s="604" t="s">
        <v>2771</v>
      </c>
      <c r="B26" s="605">
        <v>10350</v>
      </c>
      <c r="C26" s="607">
        <v>7941</v>
      </c>
      <c r="D26" s="605"/>
      <c r="E26" s="601">
        <f t="shared" si="0"/>
        <v>7941</v>
      </c>
      <c r="F26" s="602">
        <v>7940.905</v>
      </c>
      <c r="G26" s="601">
        <v>0.095</v>
      </c>
      <c r="H26" s="600">
        <f t="shared" si="1"/>
        <v>7941</v>
      </c>
      <c r="I26" s="601">
        <f t="shared" si="2"/>
        <v>-0.09500000000025466</v>
      </c>
      <c r="J26" s="600">
        <f t="shared" si="3"/>
        <v>0</v>
      </c>
      <c r="K26" s="601">
        <f t="shared" si="4"/>
        <v>-0.09500000000025466</v>
      </c>
      <c r="L26" s="600">
        <f t="shared" si="5"/>
        <v>0</v>
      </c>
      <c r="M26" s="606">
        <v>8448.65</v>
      </c>
      <c r="N26" s="603">
        <f t="shared" si="6"/>
        <v>0.9399022329011144</v>
      </c>
    </row>
    <row r="27" spans="1:14" ht="30.75">
      <c r="A27" s="604" t="s">
        <v>2772</v>
      </c>
      <c r="B27" s="605">
        <v>49070</v>
      </c>
      <c r="C27" s="607">
        <v>43837</v>
      </c>
      <c r="D27" s="605">
        <v>21698</v>
      </c>
      <c r="E27" s="601">
        <f t="shared" si="0"/>
        <v>65535</v>
      </c>
      <c r="F27" s="602">
        <v>65530.516</v>
      </c>
      <c r="G27" s="601">
        <v>4.484</v>
      </c>
      <c r="H27" s="600">
        <f t="shared" si="1"/>
        <v>65535</v>
      </c>
      <c r="I27" s="601">
        <f t="shared" si="2"/>
        <v>21693.516000000003</v>
      </c>
      <c r="J27" s="600">
        <f t="shared" si="3"/>
        <v>21698</v>
      </c>
      <c r="K27" s="601">
        <f t="shared" si="4"/>
        <v>-4.48399999999674</v>
      </c>
      <c r="L27" s="600">
        <f t="shared" si="5"/>
        <v>0</v>
      </c>
      <c r="M27" s="606">
        <v>59891.11</v>
      </c>
      <c r="N27" s="603">
        <f t="shared" si="6"/>
        <v>1.0941609864969943</v>
      </c>
    </row>
    <row r="28" spans="1:14" ht="15">
      <c r="A28" s="604" t="s">
        <v>2773</v>
      </c>
      <c r="B28" s="605">
        <v>317337</v>
      </c>
      <c r="C28" s="607">
        <v>381092</v>
      </c>
      <c r="D28" s="605">
        <f>0.847+1280.085</f>
        <v>1280.932</v>
      </c>
      <c r="E28" s="601">
        <f t="shared" si="0"/>
        <v>382372.932</v>
      </c>
      <c r="F28" s="602">
        <f>100376.13+278386.207</f>
        <v>378762.337</v>
      </c>
      <c r="G28" s="601">
        <f>76.203+3513.878</f>
        <v>3590.081</v>
      </c>
      <c r="H28" s="600">
        <f t="shared" si="1"/>
        <v>382352.418</v>
      </c>
      <c r="I28" s="601">
        <f t="shared" si="2"/>
        <v>-2329.6630000000005</v>
      </c>
      <c r="J28" s="600">
        <f t="shared" si="3"/>
        <v>1260.4180000000051</v>
      </c>
      <c r="K28" s="601">
        <f t="shared" si="4"/>
        <v>-3610.594999999972</v>
      </c>
      <c r="L28" s="600">
        <f t="shared" si="5"/>
        <v>-20.513999999966472</v>
      </c>
      <c r="M28" s="606">
        <v>324918.02</v>
      </c>
      <c r="N28" s="603">
        <f t="shared" si="6"/>
        <v>1.1657166229192213</v>
      </c>
    </row>
    <row r="29" spans="1:14" ht="15">
      <c r="A29" s="604" t="s">
        <v>2774</v>
      </c>
      <c r="B29" s="605">
        <v>57775</v>
      </c>
      <c r="C29" s="607">
        <v>69240</v>
      </c>
      <c r="D29" s="605">
        <v>12.145</v>
      </c>
      <c r="E29" s="601">
        <f t="shared" si="0"/>
        <v>69252.145</v>
      </c>
      <c r="F29" s="602">
        <v>67601.354</v>
      </c>
      <c r="G29" s="601">
        <v>1650.791</v>
      </c>
      <c r="H29" s="600">
        <f t="shared" si="1"/>
        <v>69252.145</v>
      </c>
      <c r="I29" s="601">
        <f t="shared" si="2"/>
        <v>-1638.6459999999934</v>
      </c>
      <c r="J29" s="600">
        <f t="shared" si="3"/>
        <v>12.145000000004075</v>
      </c>
      <c r="K29" s="601">
        <f t="shared" si="4"/>
        <v>-1650.7909999999974</v>
      </c>
      <c r="L29" s="600">
        <f t="shared" si="5"/>
        <v>0</v>
      </c>
      <c r="M29" s="606">
        <v>47032.86</v>
      </c>
      <c r="N29" s="603">
        <f t="shared" si="6"/>
        <v>1.4373217788584407</v>
      </c>
    </row>
    <row r="30" spans="1:14" ht="15">
      <c r="A30" s="604" t="s">
        <v>2775</v>
      </c>
      <c r="B30" s="605">
        <v>48000</v>
      </c>
      <c r="C30" s="607">
        <v>43184</v>
      </c>
      <c r="D30" s="605"/>
      <c r="E30" s="601">
        <f t="shared" si="0"/>
        <v>43184</v>
      </c>
      <c r="F30" s="602">
        <v>43183.125</v>
      </c>
      <c r="G30" s="601">
        <v>0.875</v>
      </c>
      <c r="H30" s="600">
        <f t="shared" si="1"/>
        <v>43184</v>
      </c>
      <c r="I30" s="601">
        <f t="shared" si="2"/>
        <v>-0.875</v>
      </c>
      <c r="J30" s="600">
        <f t="shared" si="3"/>
        <v>0</v>
      </c>
      <c r="K30" s="601">
        <f t="shared" si="4"/>
        <v>-0.875</v>
      </c>
      <c r="L30" s="600">
        <f t="shared" si="5"/>
        <v>0</v>
      </c>
      <c r="M30" s="606">
        <v>42668.45</v>
      </c>
      <c r="N30" s="603">
        <f t="shared" si="6"/>
        <v>1.0120621911506043</v>
      </c>
    </row>
    <row r="31" spans="1:14" ht="15">
      <c r="A31" s="609" t="s">
        <v>2776</v>
      </c>
      <c r="B31" s="605">
        <v>88400</v>
      </c>
      <c r="C31" s="607">
        <v>93100</v>
      </c>
      <c r="D31" s="605">
        <v>19624.96</v>
      </c>
      <c r="E31" s="601">
        <f t="shared" si="0"/>
        <v>112724.95999999999</v>
      </c>
      <c r="F31" s="602">
        <v>111851.739</v>
      </c>
      <c r="G31" s="601">
        <v>873.221</v>
      </c>
      <c r="H31" s="600">
        <f t="shared" si="1"/>
        <v>112724.96</v>
      </c>
      <c r="I31" s="601">
        <f t="shared" si="2"/>
        <v>18751.739</v>
      </c>
      <c r="J31" s="600">
        <f t="shared" si="3"/>
        <v>19624.960000000006</v>
      </c>
      <c r="K31" s="601">
        <f t="shared" si="4"/>
        <v>-873.2209999999905</v>
      </c>
      <c r="L31" s="600">
        <f t="shared" si="5"/>
        <v>0</v>
      </c>
      <c r="M31" s="606">
        <v>84568.04</v>
      </c>
      <c r="N31" s="603">
        <f t="shared" si="6"/>
        <v>1.3226242325114785</v>
      </c>
    </row>
    <row r="32" spans="1:14" ht="15">
      <c r="A32" s="609" t="s">
        <v>2777</v>
      </c>
      <c r="B32" s="605">
        <v>92819</v>
      </c>
      <c r="C32" s="607">
        <v>66102</v>
      </c>
      <c r="D32" s="605">
        <f>92.344</f>
        <v>92.344</v>
      </c>
      <c r="E32" s="601">
        <f t="shared" si="0"/>
        <v>66194.344</v>
      </c>
      <c r="F32" s="602">
        <f>47635.941+17440.188</f>
        <v>65076.129</v>
      </c>
      <c r="G32" s="601">
        <f>2.884+1099.812</f>
        <v>1102.696</v>
      </c>
      <c r="H32" s="600">
        <f t="shared" si="1"/>
        <v>66178.825</v>
      </c>
      <c r="I32" s="601">
        <f t="shared" si="2"/>
        <v>-1025.8709999999992</v>
      </c>
      <c r="J32" s="600">
        <f t="shared" si="3"/>
        <v>76.82499999999709</v>
      </c>
      <c r="K32" s="601">
        <f t="shared" si="4"/>
        <v>-1118.2149999999965</v>
      </c>
      <c r="L32" s="600">
        <f t="shared" si="5"/>
        <v>-15.519000000000233</v>
      </c>
      <c r="M32" s="606">
        <v>64329.74</v>
      </c>
      <c r="N32" s="603">
        <f t="shared" si="6"/>
        <v>1.0116025496139112</v>
      </c>
    </row>
    <row r="33" spans="1:14" ht="15">
      <c r="A33" s="609" t="s">
        <v>2778</v>
      </c>
      <c r="B33" s="605">
        <v>672</v>
      </c>
      <c r="C33" s="607">
        <v>672</v>
      </c>
      <c r="D33" s="605"/>
      <c r="E33" s="601">
        <f t="shared" si="0"/>
        <v>672</v>
      </c>
      <c r="F33" s="602">
        <v>613.243</v>
      </c>
      <c r="G33" s="601">
        <v>58.757</v>
      </c>
      <c r="H33" s="600">
        <f t="shared" si="1"/>
        <v>672</v>
      </c>
      <c r="I33" s="601">
        <f t="shared" si="2"/>
        <v>-58.75699999999995</v>
      </c>
      <c r="J33" s="600">
        <f t="shared" si="3"/>
        <v>0</v>
      </c>
      <c r="K33" s="601">
        <f t="shared" si="4"/>
        <v>-58.75699999999995</v>
      </c>
      <c r="L33" s="600">
        <f t="shared" si="5"/>
        <v>0</v>
      </c>
      <c r="M33" s="606">
        <v>623</v>
      </c>
      <c r="N33" s="603">
        <f t="shared" si="6"/>
        <v>0.9843386837881221</v>
      </c>
    </row>
    <row r="34" spans="1:14" ht="15" customHeight="1">
      <c r="A34" s="609" t="s">
        <v>2779</v>
      </c>
      <c r="B34" s="605">
        <v>1770</v>
      </c>
      <c r="C34" s="607">
        <v>2601</v>
      </c>
      <c r="D34" s="605"/>
      <c r="E34" s="601">
        <f t="shared" si="0"/>
        <v>2601</v>
      </c>
      <c r="F34" s="602">
        <f>2329.163+269.708</f>
        <v>2598.871</v>
      </c>
      <c r="G34" s="601">
        <v>0.292</v>
      </c>
      <c r="H34" s="600">
        <f t="shared" si="1"/>
        <v>2599.163</v>
      </c>
      <c r="I34" s="601">
        <f t="shared" si="2"/>
        <v>-2.1289999999999054</v>
      </c>
      <c r="J34" s="600">
        <f t="shared" si="3"/>
        <v>-1.836999999999989</v>
      </c>
      <c r="K34" s="601">
        <f t="shared" si="4"/>
        <v>-2.1289999999999054</v>
      </c>
      <c r="L34" s="600">
        <f t="shared" si="5"/>
        <v>-1.836999999999989</v>
      </c>
      <c r="M34" s="606">
        <v>1786.72</v>
      </c>
      <c r="N34" s="603">
        <f t="shared" si="6"/>
        <v>1.4545485582519926</v>
      </c>
    </row>
    <row r="35" spans="1:14" ht="15" customHeight="1">
      <c r="A35" s="608" t="s">
        <v>2780</v>
      </c>
      <c r="B35" s="605">
        <v>1610</v>
      </c>
      <c r="C35" s="607">
        <v>753</v>
      </c>
      <c r="D35" s="605">
        <v>96.8</v>
      </c>
      <c r="E35" s="601">
        <f t="shared" si="0"/>
        <v>849.8</v>
      </c>
      <c r="F35" s="602">
        <v>802.007</v>
      </c>
      <c r="G35" s="601">
        <v>45</v>
      </c>
      <c r="H35" s="600">
        <f t="shared" si="1"/>
        <v>847.007</v>
      </c>
      <c r="I35" s="601">
        <f t="shared" si="2"/>
        <v>49.00699999999995</v>
      </c>
      <c r="J35" s="600">
        <f t="shared" si="3"/>
        <v>94.00699999999995</v>
      </c>
      <c r="K35" s="601">
        <f t="shared" si="4"/>
        <v>-47.793000000000006</v>
      </c>
      <c r="L35" s="600">
        <f t="shared" si="5"/>
        <v>-2.7930000000000064</v>
      </c>
      <c r="M35" s="606">
        <v>319.65</v>
      </c>
      <c r="N35" s="603">
        <f t="shared" si="6"/>
        <v>2.509016111371813</v>
      </c>
    </row>
    <row r="36" spans="1:15" ht="15" customHeight="1">
      <c r="A36" s="609" t="s">
        <v>2781</v>
      </c>
      <c r="B36" s="605">
        <v>90000</v>
      </c>
      <c r="C36" s="605">
        <v>72425</v>
      </c>
      <c r="D36" s="605">
        <v>29533.9</v>
      </c>
      <c r="E36" s="601">
        <f t="shared" si="0"/>
        <v>101958.9</v>
      </c>
      <c r="F36" s="602">
        <v>97100.606</v>
      </c>
      <c r="G36" s="601">
        <v>4846</v>
      </c>
      <c r="H36" s="600">
        <f t="shared" si="1"/>
        <v>101946.606</v>
      </c>
      <c r="I36" s="601">
        <f t="shared" si="2"/>
        <v>24675.606</v>
      </c>
      <c r="J36" s="600">
        <f t="shared" si="3"/>
        <v>29521.606</v>
      </c>
      <c r="K36" s="601">
        <f t="shared" si="4"/>
        <v>-4858.293999999994</v>
      </c>
      <c r="L36" s="600">
        <f t="shared" si="5"/>
        <v>-12.293999999994412</v>
      </c>
      <c r="M36" s="606">
        <v>31992.34</v>
      </c>
      <c r="N36" s="603">
        <f t="shared" si="6"/>
        <v>3.0351204694623775</v>
      </c>
      <c r="O36" s="610"/>
    </row>
    <row r="37" spans="1:15" ht="15">
      <c r="A37" s="609" t="s">
        <v>2782</v>
      </c>
      <c r="B37" s="605">
        <v>20000</v>
      </c>
      <c r="C37" s="605">
        <v>19566</v>
      </c>
      <c r="D37" s="605">
        <v>395.9</v>
      </c>
      <c r="E37" s="601">
        <f t="shared" si="0"/>
        <v>19961.9</v>
      </c>
      <c r="F37" s="602">
        <v>19951.633</v>
      </c>
      <c r="G37" s="601">
        <v>0</v>
      </c>
      <c r="H37" s="600">
        <f t="shared" si="1"/>
        <v>19951.633</v>
      </c>
      <c r="I37" s="601">
        <f t="shared" si="2"/>
        <v>385.63300000000163</v>
      </c>
      <c r="J37" s="600">
        <f t="shared" si="3"/>
        <v>385.63300000000163</v>
      </c>
      <c r="K37" s="601">
        <f t="shared" si="4"/>
        <v>-10.266999999999825</v>
      </c>
      <c r="L37" s="600">
        <f t="shared" si="5"/>
        <v>-10.266999999999825</v>
      </c>
      <c r="M37" s="606">
        <v>18236.37</v>
      </c>
      <c r="N37" s="603">
        <f t="shared" si="6"/>
        <v>1.094057260299062</v>
      </c>
      <c r="O37" s="610"/>
    </row>
    <row r="38" spans="1:15" ht="15.75" thickBot="1">
      <c r="A38" s="609" t="s">
        <v>2783</v>
      </c>
      <c r="B38" s="605">
        <v>70000</v>
      </c>
      <c r="C38" s="605">
        <v>52859</v>
      </c>
      <c r="D38" s="605">
        <v>29138</v>
      </c>
      <c r="E38" s="601">
        <f t="shared" si="0"/>
        <v>81997</v>
      </c>
      <c r="F38" s="602">
        <v>77148.973</v>
      </c>
      <c r="G38" s="601">
        <v>4846</v>
      </c>
      <c r="H38" s="600">
        <f t="shared" si="1"/>
        <v>81994.973</v>
      </c>
      <c r="I38" s="601">
        <f t="shared" si="2"/>
        <v>24289.972999999998</v>
      </c>
      <c r="J38" s="600">
        <f t="shared" si="3"/>
        <v>29135.972999999998</v>
      </c>
      <c r="K38" s="601">
        <f t="shared" si="4"/>
        <v>-4848.027000000002</v>
      </c>
      <c r="L38" s="600">
        <f t="shared" si="5"/>
        <v>-2.0270000000018626</v>
      </c>
      <c r="M38" s="606">
        <v>13755.97</v>
      </c>
      <c r="N38" s="603">
        <f t="shared" si="6"/>
        <v>5.608399334979649</v>
      </c>
      <c r="O38" s="610"/>
    </row>
    <row r="39" spans="1:15" ht="15.75" thickBot="1">
      <c r="A39" s="611" t="s">
        <v>2784</v>
      </c>
      <c r="B39" s="612">
        <f aca="true" t="shared" si="7" ref="B39:M39">SUM(B8:B38)-SUM(B9:B11)-SUM(B37:B38)</f>
        <v>2082401</v>
      </c>
      <c r="C39" s="612">
        <f t="shared" si="7"/>
        <v>1843536</v>
      </c>
      <c r="D39" s="612">
        <f t="shared" si="7"/>
        <v>293294.35799999995</v>
      </c>
      <c r="E39" s="612">
        <f t="shared" si="7"/>
        <v>2136830.358</v>
      </c>
      <c r="F39" s="613">
        <f t="shared" si="7"/>
        <v>1943924.216</v>
      </c>
      <c r="G39" s="612">
        <f t="shared" si="7"/>
        <v>192658.16199999998</v>
      </c>
      <c r="H39" s="612">
        <f t="shared" si="7"/>
        <v>2136582.377999999</v>
      </c>
      <c r="I39" s="612">
        <f t="shared" si="7"/>
        <v>100388.21599999997</v>
      </c>
      <c r="J39" s="612">
        <f t="shared" si="7"/>
        <v>293046.3779999999</v>
      </c>
      <c r="K39" s="612">
        <f t="shared" si="7"/>
        <v>-192906.14199999996</v>
      </c>
      <c r="L39" s="612">
        <f t="shared" si="7"/>
        <v>-247.97999999999126</v>
      </c>
      <c r="M39" s="613">
        <f t="shared" si="7"/>
        <v>1789206.6</v>
      </c>
      <c r="N39" s="603">
        <f t="shared" si="6"/>
        <v>1.086472750547645</v>
      </c>
      <c r="O39" s="610"/>
    </row>
    <row r="40" spans="1:15" ht="22.5" customHeight="1">
      <c r="A40" s="583" t="s">
        <v>2785</v>
      </c>
      <c r="B40" s="614"/>
      <c r="N40" s="584"/>
      <c r="O40" s="610"/>
    </row>
    <row r="41" spans="1:15" ht="33" customHeight="1">
      <c r="A41" s="583"/>
      <c r="B41" s="614"/>
      <c r="N41" s="584"/>
      <c r="O41" s="610"/>
    </row>
    <row r="42" spans="1:15" ht="18">
      <c r="A42" s="1738" t="s">
        <v>3613</v>
      </c>
      <c r="D42" s="584"/>
      <c r="E42" s="584"/>
      <c r="F42" s="616"/>
      <c r="G42" s="584"/>
      <c r="H42" s="584"/>
      <c r="K42" s="1686" t="s">
        <v>3749</v>
      </c>
      <c r="N42" s="1312" t="s">
        <v>3510</v>
      </c>
      <c r="O42" s="610"/>
    </row>
    <row r="43" spans="1:15" ht="15">
      <c r="A43" s="615"/>
      <c r="C43" s="617"/>
      <c r="D43" s="615"/>
      <c r="F43" s="618"/>
      <c r="N43" s="584"/>
      <c r="O43" s="610"/>
    </row>
    <row r="44" spans="3:15" ht="35.25" customHeight="1">
      <c r="C44" s="617"/>
      <c r="N44" s="584"/>
      <c r="O44" s="610"/>
    </row>
  </sheetData>
  <mergeCells count="13">
    <mergeCell ref="B5:B6"/>
    <mergeCell ref="C5:C6"/>
    <mergeCell ref="D5:D6"/>
    <mergeCell ref="A3:N3"/>
    <mergeCell ref="I5:J5"/>
    <mergeCell ref="K5:L5"/>
    <mergeCell ref="M5:M6"/>
    <mergeCell ref="N5:N6"/>
    <mergeCell ref="E5:E6"/>
    <mergeCell ref="F5:F6"/>
    <mergeCell ref="G5:G6"/>
    <mergeCell ref="H5:H6"/>
    <mergeCell ref="A5:A6"/>
  </mergeCells>
  <printOptions horizontalCentered="1"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Footer>&amp;C&amp;12&amp;P+80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G43"/>
  <sheetViews>
    <sheetView workbookViewId="0" topLeftCell="AQ1">
      <selection activeCell="AY43" sqref="AY43"/>
    </sheetView>
  </sheetViews>
  <sheetFormatPr defaultColWidth="9.00390625" defaultRowHeight="12.75"/>
  <cols>
    <col min="1" max="1" width="31.375" style="267" customWidth="1"/>
    <col min="2" max="2" width="10.125" style="267" customWidth="1"/>
    <col min="3" max="3" width="10.375" style="267" customWidth="1"/>
    <col min="4" max="4" width="9.50390625" style="267" customWidth="1"/>
    <col min="5" max="5" width="9.875" style="267" customWidth="1"/>
    <col min="6" max="6" width="9.50390625" style="267" customWidth="1"/>
    <col min="7" max="7" width="10.50390625" style="267" customWidth="1"/>
    <col min="8" max="10" width="9.125" style="267" customWidth="1"/>
    <col min="11" max="11" width="10.125" style="267" customWidth="1"/>
    <col min="12" max="12" width="9.125" style="267" customWidth="1"/>
    <col min="13" max="13" width="12.50390625" style="267" customWidth="1"/>
    <col min="14" max="14" width="9.125" style="267" customWidth="1"/>
    <col min="15" max="15" width="12.625" style="267" customWidth="1"/>
    <col min="16" max="24" width="9.125" style="267" customWidth="1"/>
    <col min="25" max="25" width="10.50390625" style="267" customWidth="1"/>
    <col min="26" max="26" width="9.125" style="267" customWidth="1"/>
    <col min="27" max="27" width="10.50390625" style="267" customWidth="1"/>
    <col min="28" max="28" width="9.125" style="267" customWidth="1"/>
    <col min="29" max="29" width="10.00390625" style="267" customWidth="1"/>
    <col min="30" max="30" width="9.125" style="267" customWidth="1"/>
    <col min="31" max="31" width="11.50390625" style="267" customWidth="1"/>
    <col min="32" max="32" width="11.125" style="267" customWidth="1"/>
    <col min="33" max="35" width="9.125" style="267" customWidth="1"/>
    <col min="36" max="36" width="10.00390625" style="267" customWidth="1"/>
    <col min="37" max="37" width="10.125" style="267" customWidth="1"/>
    <col min="38" max="38" width="10.375" style="267" customWidth="1"/>
    <col min="39" max="39" width="10.00390625" style="267" customWidth="1"/>
    <col min="40" max="40" width="9.125" style="267" customWidth="1"/>
    <col min="41" max="41" width="10.625" style="267" customWidth="1"/>
    <col min="42" max="42" width="10.375" style="267" customWidth="1"/>
    <col min="43" max="43" width="9.875" style="267" customWidth="1"/>
    <col min="44" max="48" width="9.125" style="267" customWidth="1"/>
    <col min="49" max="49" width="14.875" style="267" customWidth="1"/>
    <col min="50" max="51" width="9.125" style="267" customWidth="1"/>
    <col min="52" max="53" width="0" style="267" hidden="1" customWidth="1"/>
    <col min="54" max="54" width="9.125" style="267" customWidth="1"/>
    <col min="55" max="55" width="10.50390625" style="267" customWidth="1"/>
    <col min="56" max="56" width="11.50390625" style="267" customWidth="1"/>
    <col min="57" max="57" width="9.125" style="267" customWidth="1"/>
    <col min="58" max="58" width="11.50390625" style="267" customWidth="1"/>
    <col min="59" max="16384" width="9.125" style="267" customWidth="1"/>
  </cols>
  <sheetData>
    <row r="1" spans="54:58" ht="13.5" thickBot="1">
      <c r="BB1" s="619"/>
      <c r="BF1" s="1369" t="s">
        <v>2575</v>
      </c>
    </row>
    <row r="2" spans="1:59" ht="18" customHeight="1" thickBot="1">
      <c r="A2" s="620" t="s">
        <v>2786</v>
      </c>
      <c r="B2" s="621" t="s">
        <v>2787</v>
      </c>
      <c r="C2" s="622"/>
      <c r="D2" s="621" t="s">
        <v>3615</v>
      </c>
      <c r="E2" s="622"/>
      <c r="F2" s="1839" t="s">
        <v>2758</v>
      </c>
      <c r="G2" s="1815"/>
      <c r="H2" s="623" t="s">
        <v>3113</v>
      </c>
      <c r="I2" s="624"/>
      <c r="J2" s="623" t="s">
        <v>3114</v>
      </c>
      <c r="K2" s="624"/>
      <c r="L2" s="1839" t="s">
        <v>3614</v>
      </c>
      <c r="M2" s="1815"/>
      <c r="N2" s="623" t="s">
        <v>3115</v>
      </c>
      <c r="O2" s="624"/>
      <c r="P2" s="621" t="s">
        <v>3116</v>
      </c>
      <c r="Q2" s="622"/>
      <c r="R2" s="623" t="s">
        <v>3117</v>
      </c>
      <c r="S2" s="624"/>
      <c r="T2" s="621" t="s">
        <v>3118</v>
      </c>
      <c r="U2" s="622"/>
      <c r="V2" s="621" t="s">
        <v>3119</v>
      </c>
      <c r="W2" s="622"/>
      <c r="X2" s="623" t="s">
        <v>3120</v>
      </c>
      <c r="Y2" s="624"/>
      <c r="Z2" s="623" t="s">
        <v>3121</v>
      </c>
      <c r="AA2" s="625"/>
      <c r="AB2" s="623" t="s">
        <v>3122</v>
      </c>
      <c r="AC2" s="624"/>
      <c r="AD2" s="623" t="s">
        <v>3123</v>
      </c>
      <c r="AE2" s="624"/>
      <c r="AF2" s="621" t="s">
        <v>3124</v>
      </c>
      <c r="AG2" s="622"/>
      <c r="AH2" s="623" t="s">
        <v>3125</v>
      </c>
      <c r="AI2" s="624"/>
      <c r="AJ2" s="621" t="s">
        <v>3126</v>
      </c>
      <c r="AK2" s="622"/>
      <c r="AL2" s="623" t="s">
        <v>2774</v>
      </c>
      <c r="AM2" s="624"/>
      <c r="AN2" s="1874" t="s">
        <v>3127</v>
      </c>
      <c r="AO2" s="1875"/>
      <c r="AP2" s="623" t="s">
        <v>3128</v>
      </c>
      <c r="AQ2" s="624"/>
      <c r="AR2" s="623" t="s">
        <v>3129</v>
      </c>
      <c r="AS2" s="624"/>
      <c r="AT2" s="621" t="s">
        <v>3130</v>
      </c>
      <c r="AU2" s="622"/>
      <c r="AV2" s="621" t="s">
        <v>3131</v>
      </c>
      <c r="AW2" s="622"/>
      <c r="AX2" s="621" t="s">
        <v>3132</v>
      </c>
      <c r="AY2" s="622"/>
      <c r="AZ2" s="623" t="s">
        <v>3133</v>
      </c>
      <c r="BA2" s="624"/>
      <c r="BB2" s="623" t="s">
        <v>3134</v>
      </c>
      <c r="BC2" s="624"/>
      <c r="BD2" s="626"/>
      <c r="BE2" s="627" t="s">
        <v>3135</v>
      </c>
      <c r="BF2" s="628"/>
      <c r="BG2" s="629"/>
    </row>
    <row r="3" spans="1:59" ht="18" customHeight="1" thickBot="1">
      <c r="A3" s="630"/>
      <c r="B3" s="631" t="s">
        <v>3136</v>
      </c>
      <c r="C3" s="631" t="s">
        <v>2722</v>
      </c>
      <c r="D3" s="631" t="s">
        <v>3136</v>
      </c>
      <c r="E3" s="631" t="s">
        <v>2722</v>
      </c>
      <c r="F3" s="631" t="s">
        <v>3136</v>
      </c>
      <c r="G3" s="631" t="s">
        <v>2722</v>
      </c>
      <c r="H3" s="631" t="s">
        <v>3136</v>
      </c>
      <c r="I3" s="631" t="s">
        <v>2722</v>
      </c>
      <c r="J3" s="631" t="s">
        <v>3136</v>
      </c>
      <c r="K3" s="631" t="s">
        <v>2722</v>
      </c>
      <c r="L3" s="631" t="s">
        <v>3136</v>
      </c>
      <c r="M3" s="631" t="s">
        <v>2722</v>
      </c>
      <c r="N3" s="631" t="s">
        <v>3136</v>
      </c>
      <c r="O3" s="631" t="s">
        <v>2722</v>
      </c>
      <c r="P3" s="631" t="s">
        <v>3136</v>
      </c>
      <c r="Q3" s="631" t="s">
        <v>2722</v>
      </c>
      <c r="R3" s="631" t="s">
        <v>3136</v>
      </c>
      <c r="S3" s="631" t="s">
        <v>2722</v>
      </c>
      <c r="T3" s="631" t="s">
        <v>3136</v>
      </c>
      <c r="U3" s="631" t="s">
        <v>2722</v>
      </c>
      <c r="V3" s="631" t="s">
        <v>3136</v>
      </c>
      <c r="W3" s="631" t="s">
        <v>2722</v>
      </c>
      <c r="X3" s="631" t="s">
        <v>3136</v>
      </c>
      <c r="Y3" s="631" t="s">
        <v>2722</v>
      </c>
      <c r="Z3" s="631" t="s">
        <v>3136</v>
      </c>
      <c r="AA3" s="631" t="s">
        <v>2722</v>
      </c>
      <c r="AB3" s="632" t="s">
        <v>3136</v>
      </c>
      <c r="AC3" s="631" t="s">
        <v>2722</v>
      </c>
      <c r="AD3" s="631" t="s">
        <v>3136</v>
      </c>
      <c r="AE3" s="631" t="s">
        <v>2722</v>
      </c>
      <c r="AF3" s="631" t="s">
        <v>3136</v>
      </c>
      <c r="AG3" s="631" t="s">
        <v>2722</v>
      </c>
      <c r="AH3" s="631" t="s">
        <v>3136</v>
      </c>
      <c r="AI3" s="631" t="s">
        <v>2722</v>
      </c>
      <c r="AJ3" s="631" t="s">
        <v>3136</v>
      </c>
      <c r="AK3" s="631" t="s">
        <v>2722</v>
      </c>
      <c r="AL3" s="631" t="s">
        <v>3136</v>
      </c>
      <c r="AM3" s="631" t="s">
        <v>2722</v>
      </c>
      <c r="AN3" s="631" t="s">
        <v>3136</v>
      </c>
      <c r="AO3" s="631" t="s">
        <v>2722</v>
      </c>
      <c r="AP3" s="631" t="s">
        <v>3136</v>
      </c>
      <c r="AQ3" s="631" t="s">
        <v>2722</v>
      </c>
      <c r="AR3" s="631" t="s">
        <v>3136</v>
      </c>
      <c r="AS3" s="631" t="s">
        <v>2722</v>
      </c>
      <c r="AT3" s="631" t="s">
        <v>3136</v>
      </c>
      <c r="AU3" s="631" t="s">
        <v>2722</v>
      </c>
      <c r="AV3" s="631" t="s">
        <v>3136</v>
      </c>
      <c r="AW3" s="631" t="s">
        <v>2722</v>
      </c>
      <c r="AX3" s="631" t="s">
        <v>3136</v>
      </c>
      <c r="AY3" s="631" t="s">
        <v>2722</v>
      </c>
      <c r="AZ3" s="631" t="s">
        <v>3136</v>
      </c>
      <c r="BA3" s="631" t="s">
        <v>2722</v>
      </c>
      <c r="BB3" s="631" t="s">
        <v>3136</v>
      </c>
      <c r="BC3" s="631" t="s">
        <v>2722</v>
      </c>
      <c r="BD3" s="633" t="s">
        <v>3137</v>
      </c>
      <c r="BE3" s="631" t="s">
        <v>3136</v>
      </c>
      <c r="BF3" s="631" t="s">
        <v>2722</v>
      </c>
      <c r="BG3" s="634"/>
    </row>
    <row r="4" spans="1:59" ht="18" customHeight="1" thickBot="1">
      <c r="A4" s="635" t="s">
        <v>3138</v>
      </c>
      <c r="B4" s="636">
        <v>58301</v>
      </c>
      <c r="C4" s="637">
        <v>58295.069</v>
      </c>
      <c r="D4" s="636">
        <v>196129</v>
      </c>
      <c r="E4" s="637">
        <v>137708.764</v>
      </c>
      <c r="F4" s="636">
        <v>174176</v>
      </c>
      <c r="G4" s="637">
        <v>174183.719</v>
      </c>
      <c r="H4" s="636">
        <v>48852</v>
      </c>
      <c r="I4" s="637">
        <v>48845.257</v>
      </c>
      <c r="J4" s="636">
        <v>122502</v>
      </c>
      <c r="K4" s="637">
        <v>103014.447</v>
      </c>
      <c r="L4" s="636">
        <v>12969</v>
      </c>
      <c r="M4" s="637">
        <v>10836.532</v>
      </c>
      <c r="N4" s="636">
        <v>24206</v>
      </c>
      <c r="O4" s="637">
        <v>24172.406</v>
      </c>
      <c r="P4" s="636">
        <v>20820</v>
      </c>
      <c r="Q4" s="637">
        <v>20820</v>
      </c>
      <c r="R4" s="636">
        <v>15450</v>
      </c>
      <c r="S4" s="637">
        <v>15447.443</v>
      </c>
      <c r="T4" s="636">
        <v>31914</v>
      </c>
      <c r="U4" s="637">
        <v>31902.329</v>
      </c>
      <c r="V4" s="636">
        <v>6000</v>
      </c>
      <c r="W4" s="637">
        <v>6000</v>
      </c>
      <c r="X4" s="636">
        <v>0</v>
      </c>
      <c r="Y4" s="637">
        <v>0</v>
      </c>
      <c r="Z4" s="636">
        <v>12911</v>
      </c>
      <c r="AA4" s="637">
        <v>12910.414</v>
      </c>
      <c r="AB4" s="636">
        <v>0</v>
      </c>
      <c r="AC4" s="637">
        <v>0</v>
      </c>
      <c r="AD4" s="636">
        <v>0</v>
      </c>
      <c r="AE4" s="637">
        <v>0</v>
      </c>
      <c r="AF4" s="636">
        <v>0</v>
      </c>
      <c r="AG4" s="637">
        <v>0</v>
      </c>
      <c r="AH4" s="636">
        <v>0</v>
      </c>
      <c r="AI4" s="637">
        <v>0</v>
      </c>
      <c r="AJ4" s="636">
        <v>100472</v>
      </c>
      <c r="AK4" s="637">
        <v>100376.13</v>
      </c>
      <c r="AL4" s="636">
        <v>0</v>
      </c>
      <c r="AM4" s="637">
        <v>0</v>
      </c>
      <c r="AN4" s="636">
        <v>0</v>
      </c>
      <c r="AO4" s="637">
        <v>0</v>
      </c>
      <c r="AP4" s="636">
        <v>0</v>
      </c>
      <c r="AQ4" s="637">
        <v>0</v>
      </c>
      <c r="AR4" s="636">
        <v>47562</v>
      </c>
      <c r="AS4" s="637">
        <v>47635.941</v>
      </c>
      <c r="AT4" s="636">
        <v>0</v>
      </c>
      <c r="AU4" s="637">
        <v>0</v>
      </c>
      <c r="AV4" s="636">
        <v>2331</v>
      </c>
      <c r="AW4" s="637">
        <v>2329.163</v>
      </c>
      <c r="AX4" s="636">
        <v>753</v>
      </c>
      <c r="AY4" s="637">
        <v>802.007</v>
      </c>
      <c r="AZ4" s="636"/>
      <c r="BA4" s="637"/>
      <c r="BB4" s="636">
        <v>72425</v>
      </c>
      <c r="BC4" s="637">
        <v>97100.606</v>
      </c>
      <c r="BD4" s="636">
        <v>1018829</v>
      </c>
      <c r="BE4" s="636">
        <f aca="true" t="shared" si="0" ref="BE4:BF7">B4+D4+F4+H4+J4+L4+N4+P4+R4+T4+V4+X4+Z4+AB4+AD4+AF4+AH4+AJ4+AN4+AP4+AR4+AT4+AZ4+AL4+AX4+AV4+BB4</f>
        <v>947773</v>
      </c>
      <c r="BF4" s="637">
        <f t="shared" si="0"/>
        <v>892380.2269999998</v>
      </c>
      <c r="BG4" s="634"/>
    </row>
    <row r="5" spans="1:59" ht="18" customHeight="1" thickBot="1">
      <c r="A5" s="638" t="s">
        <v>2643</v>
      </c>
      <c r="B5" s="639"/>
      <c r="C5" s="640"/>
      <c r="D5" s="639"/>
      <c r="E5" s="640"/>
      <c r="F5" s="639">
        <v>2261</v>
      </c>
      <c r="G5" s="640">
        <v>2257.927</v>
      </c>
      <c r="H5" s="639"/>
      <c r="I5" s="640"/>
      <c r="J5" s="639"/>
      <c r="K5" s="640"/>
      <c r="L5" s="639"/>
      <c r="M5" s="640"/>
      <c r="N5" s="639"/>
      <c r="O5" s="640"/>
      <c r="P5" s="639"/>
      <c r="Q5" s="640"/>
      <c r="R5" s="639"/>
      <c r="S5" s="640"/>
      <c r="T5" s="639"/>
      <c r="U5" s="640"/>
      <c r="V5" s="639"/>
      <c r="W5" s="640"/>
      <c r="X5" s="639">
        <v>140541</v>
      </c>
      <c r="Y5" s="640">
        <v>312332.269</v>
      </c>
      <c r="Z5" s="639">
        <v>152907</v>
      </c>
      <c r="AA5" s="640">
        <v>100266.717</v>
      </c>
      <c r="AB5" s="639">
        <v>2750</v>
      </c>
      <c r="AC5" s="640">
        <v>2401.788</v>
      </c>
      <c r="AD5" s="639">
        <v>32985</v>
      </c>
      <c r="AE5" s="640">
        <v>34558.893</v>
      </c>
      <c r="AF5" s="639">
        <v>7941</v>
      </c>
      <c r="AG5" s="640">
        <v>7940.905</v>
      </c>
      <c r="AH5" s="639">
        <v>43837</v>
      </c>
      <c r="AI5" s="640">
        <v>65530.516</v>
      </c>
      <c r="AJ5" s="639">
        <v>280620</v>
      </c>
      <c r="AK5" s="640">
        <v>278386.207</v>
      </c>
      <c r="AL5" s="639">
        <v>69240</v>
      </c>
      <c r="AM5" s="640">
        <v>67601.354</v>
      </c>
      <c r="AN5" s="639">
        <v>43184</v>
      </c>
      <c r="AO5" s="640">
        <v>43183.125</v>
      </c>
      <c r="AP5" s="639">
        <v>93100</v>
      </c>
      <c r="AQ5" s="640">
        <v>111851.739</v>
      </c>
      <c r="AR5" s="639">
        <v>18540</v>
      </c>
      <c r="AS5" s="640">
        <v>17440.188</v>
      </c>
      <c r="AT5" s="639">
        <v>672</v>
      </c>
      <c r="AU5" s="640">
        <v>613.243</v>
      </c>
      <c r="AV5" s="639">
        <v>270</v>
      </c>
      <c r="AW5" s="640">
        <v>269.708</v>
      </c>
      <c r="AX5" s="639"/>
      <c r="AY5" s="640"/>
      <c r="AZ5" s="639">
        <f>AZ6+AZ7</f>
        <v>0</v>
      </c>
      <c r="BA5" s="640">
        <f>BA6+BA7</f>
        <v>0</v>
      </c>
      <c r="BB5" s="639"/>
      <c r="BC5" s="640"/>
      <c r="BD5" s="641">
        <v>1055314</v>
      </c>
      <c r="BE5" s="636">
        <f t="shared" si="0"/>
        <v>888848</v>
      </c>
      <c r="BF5" s="637">
        <f t="shared" si="0"/>
        <v>1044634.5790000001</v>
      </c>
      <c r="BG5" s="634"/>
    </row>
    <row r="6" spans="1:59" ht="18" customHeight="1" hidden="1">
      <c r="A6" s="642" t="s">
        <v>3139</v>
      </c>
      <c r="B6" s="643"/>
      <c r="C6" s="644"/>
      <c r="D6" s="643"/>
      <c r="E6" s="644"/>
      <c r="F6" s="643"/>
      <c r="G6" s="644"/>
      <c r="H6" s="643">
        <v>0</v>
      </c>
      <c r="I6" s="644">
        <v>0</v>
      </c>
      <c r="J6" s="643"/>
      <c r="K6" s="644"/>
      <c r="L6" s="643"/>
      <c r="M6" s="644"/>
      <c r="N6" s="643"/>
      <c r="O6" s="644"/>
      <c r="P6" s="643"/>
      <c r="Q6" s="644"/>
      <c r="R6" s="643"/>
      <c r="S6" s="644"/>
      <c r="T6" s="643"/>
      <c r="U6" s="644"/>
      <c r="V6" s="643"/>
      <c r="W6" s="644"/>
      <c r="X6" s="643"/>
      <c r="Y6" s="644"/>
      <c r="Z6" s="643"/>
      <c r="AA6" s="644"/>
      <c r="AB6" s="643"/>
      <c r="AC6" s="644"/>
      <c r="AD6" s="643"/>
      <c r="AE6" s="644"/>
      <c r="AF6" s="643"/>
      <c r="AG6" s="644"/>
      <c r="AH6" s="643"/>
      <c r="AI6" s="644"/>
      <c r="AJ6" s="643"/>
      <c r="AK6" s="644"/>
      <c r="AL6" s="643">
        <v>0</v>
      </c>
      <c r="AM6" s="644">
        <v>0</v>
      </c>
      <c r="AN6" s="643"/>
      <c r="AO6" s="644"/>
      <c r="AP6" s="643"/>
      <c r="AQ6" s="644"/>
      <c r="AR6" s="643">
        <v>0</v>
      </c>
      <c r="AS6" s="644">
        <v>0</v>
      </c>
      <c r="AT6" s="643">
        <v>0</v>
      </c>
      <c r="AU6" s="644">
        <v>0</v>
      </c>
      <c r="AV6" s="643">
        <v>0</v>
      </c>
      <c r="AW6" s="644">
        <v>0</v>
      </c>
      <c r="AX6" s="643"/>
      <c r="AY6" s="644"/>
      <c r="AZ6" s="643">
        <v>0</v>
      </c>
      <c r="BA6" s="644">
        <v>0</v>
      </c>
      <c r="BB6" s="643"/>
      <c r="BC6" s="644"/>
      <c r="BD6" s="645">
        <v>0</v>
      </c>
      <c r="BE6" s="646">
        <f t="shared" si="0"/>
        <v>0</v>
      </c>
      <c r="BF6" s="647">
        <f t="shared" si="0"/>
        <v>0</v>
      </c>
      <c r="BG6" s="634"/>
    </row>
    <row r="7" spans="1:59" ht="18" customHeight="1" hidden="1">
      <c r="A7" s="642" t="s">
        <v>3140</v>
      </c>
      <c r="B7" s="643"/>
      <c r="C7" s="644"/>
      <c r="D7" s="643"/>
      <c r="E7" s="644"/>
      <c r="F7" s="643"/>
      <c r="G7" s="644"/>
      <c r="H7" s="643"/>
      <c r="I7" s="644"/>
      <c r="J7" s="643"/>
      <c r="K7" s="644"/>
      <c r="L7" s="643"/>
      <c r="M7" s="644"/>
      <c r="N7" s="643"/>
      <c r="O7" s="644"/>
      <c r="P7" s="643"/>
      <c r="Q7" s="644"/>
      <c r="R7" s="643"/>
      <c r="S7" s="644"/>
      <c r="T7" s="643"/>
      <c r="U7" s="644"/>
      <c r="V7" s="643"/>
      <c r="W7" s="644"/>
      <c r="X7" s="643">
        <v>0</v>
      </c>
      <c r="Y7" s="644">
        <v>0</v>
      </c>
      <c r="Z7" s="643">
        <v>0</v>
      </c>
      <c r="AA7" s="644">
        <v>0</v>
      </c>
      <c r="AB7" s="643">
        <v>0</v>
      </c>
      <c r="AC7" s="644">
        <v>0</v>
      </c>
      <c r="AD7" s="643">
        <v>0</v>
      </c>
      <c r="AE7" s="644">
        <v>0</v>
      </c>
      <c r="AF7" s="643">
        <v>0</v>
      </c>
      <c r="AG7" s="644">
        <v>0</v>
      </c>
      <c r="AH7" s="643">
        <v>0</v>
      </c>
      <c r="AI7" s="644">
        <v>0</v>
      </c>
      <c r="AJ7" s="643">
        <v>0</v>
      </c>
      <c r="AK7" s="644">
        <v>0</v>
      </c>
      <c r="AL7" s="643">
        <v>0</v>
      </c>
      <c r="AM7" s="644">
        <v>0</v>
      </c>
      <c r="AN7" s="643">
        <v>0</v>
      </c>
      <c r="AO7" s="644">
        <v>0</v>
      </c>
      <c r="AP7" s="643">
        <v>0</v>
      </c>
      <c r="AQ7" s="644">
        <v>0</v>
      </c>
      <c r="AR7" s="643">
        <v>0</v>
      </c>
      <c r="AS7" s="644">
        <v>0</v>
      </c>
      <c r="AT7" s="643"/>
      <c r="AU7" s="644"/>
      <c r="AV7" s="643"/>
      <c r="AW7" s="644"/>
      <c r="AX7" s="643"/>
      <c r="AY7" s="644"/>
      <c r="AZ7" s="643"/>
      <c r="BA7" s="644"/>
      <c r="BB7" s="643"/>
      <c r="BC7" s="644"/>
      <c r="BD7" s="645">
        <v>0</v>
      </c>
      <c r="BE7" s="646">
        <f t="shared" si="0"/>
        <v>0</v>
      </c>
      <c r="BF7" s="647">
        <f t="shared" si="0"/>
        <v>0</v>
      </c>
      <c r="BG7" s="634"/>
    </row>
    <row r="8" spans="1:59" ht="18" customHeight="1" hidden="1" thickBot="1">
      <c r="A8" s="648" t="s">
        <v>2644</v>
      </c>
      <c r="B8" s="649"/>
      <c r="C8" s="650"/>
      <c r="D8" s="649"/>
      <c r="E8" s="650"/>
      <c r="F8" s="649"/>
      <c r="G8" s="650"/>
      <c r="H8" s="649">
        <v>0</v>
      </c>
      <c r="I8" s="650">
        <v>0</v>
      </c>
      <c r="J8" s="649"/>
      <c r="K8" s="650"/>
      <c r="L8" s="649"/>
      <c r="M8" s="650"/>
      <c r="N8" s="649"/>
      <c r="O8" s="650"/>
      <c r="P8" s="649"/>
      <c r="Q8" s="650"/>
      <c r="R8" s="649"/>
      <c r="S8" s="650"/>
      <c r="T8" s="649"/>
      <c r="U8" s="650"/>
      <c r="V8" s="649"/>
      <c r="W8" s="650"/>
      <c r="X8" s="649"/>
      <c r="Y8" s="650"/>
      <c r="Z8" s="649"/>
      <c r="AA8" s="650"/>
      <c r="AB8" s="649"/>
      <c r="AC8" s="650"/>
      <c r="AD8" s="649"/>
      <c r="AE8" s="650"/>
      <c r="AF8" s="649"/>
      <c r="AG8" s="650"/>
      <c r="AH8" s="649"/>
      <c r="AI8" s="650"/>
      <c r="AJ8" s="649"/>
      <c r="AK8" s="650"/>
      <c r="AL8" s="649"/>
      <c r="AM8" s="650"/>
      <c r="AN8" s="649"/>
      <c r="AO8" s="650"/>
      <c r="AP8" s="649"/>
      <c r="AQ8" s="650"/>
      <c r="AR8" s="649"/>
      <c r="AS8" s="650"/>
      <c r="AT8" s="649"/>
      <c r="AU8" s="650"/>
      <c r="AV8" s="649"/>
      <c r="AW8" s="650"/>
      <c r="AX8" s="649"/>
      <c r="AY8" s="650"/>
      <c r="AZ8" s="649"/>
      <c r="BA8" s="650"/>
      <c r="BB8" s="649"/>
      <c r="BC8" s="650"/>
      <c r="BD8" s="651">
        <v>0</v>
      </c>
      <c r="BE8" s="649">
        <f>B8+D8+H8+J8+L8+N8+P8+R8+T8+V8+X8+AB8+AD8+AF8+AH8+AJ8+AN8+AP8+AR8+AT8+AZ8+AL8+AX8+AV8+BB8</f>
        <v>0</v>
      </c>
      <c r="BF8" s="650">
        <f>C8+E8+G8+I8+K8+M8+O8+Q8+S8+U8+W8+Y8+AA8+AC8+AE8+AG8+AI8+AK8+AO8+AQ8+AS8+AU8+BA8+AM8+AY8+AW8+BC8</f>
        <v>0</v>
      </c>
      <c r="BG8" s="634"/>
    </row>
    <row r="9" spans="1:59" ht="18" customHeight="1" hidden="1" thickBot="1">
      <c r="A9" s="652" t="s">
        <v>2645</v>
      </c>
      <c r="B9" s="653"/>
      <c r="C9" s="654"/>
      <c r="D9" s="653"/>
      <c r="E9" s="654"/>
      <c r="F9" s="653"/>
      <c r="G9" s="654"/>
      <c r="H9" s="653"/>
      <c r="I9" s="654"/>
      <c r="J9" s="653"/>
      <c r="K9" s="654"/>
      <c r="L9" s="653"/>
      <c r="M9" s="654"/>
      <c r="N9" s="653"/>
      <c r="O9" s="654"/>
      <c r="P9" s="653"/>
      <c r="Q9" s="654"/>
      <c r="R9" s="653"/>
      <c r="S9" s="654"/>
      <c r="T9" s="653"/>
      <c r="U9" s="654"/>
      <c r="V9" s="653"/>
      <c r="W9" s="654"/>
      <c r="X9" s="653"/>
      <c r="Y9" s="654"/>
      <c r="Z9" s="653"/>
      <c r="AA9" s="654"/>
      <c r="AB9" s="653"/>
      <c r="AC9" s="654"/>
      <c r="AD9" s="653"/>
      <c r="AE9" s="654"/>
      <c r="AF9" s="653"/>
      <c r="AG9" s="654"/>
      <c r="AH9" s="653"/>
      <c r="AI9" s="654"/>
      <c r="AJ9" s="653"/>
      <c r="AK9" s="654"/>
      <c r="AL9" s="653"/>
      <c r="AM9" s="654"/>
      <c r="AN9" s="653"/>
      <c r="AO9" s="654"/>
      <c r="AP9" s="653"/>
      <c r="AQ9" s="654"/>
      <c r="AR9" s="653"/>
      <c r="AS9" s="654"/>
      <c r="AT9" s="653"/>
      <c r="AU9" s="654"/>
      <c r="AV9" s="653"/>
      <c r="AW9" s="654"/>
      <c r="AX9" s="653"/>
      <c r="AY9" s="654"/>
      <c r="AZ9" s="653"/>
      <c r="BA9" s="654"/>
      <c r="BB9" s="653"/>
      <c r="BC9" s="654"/>
      <c r="BD9" s="655"/>
      <c r="BE9" s="653">
        <f>B9+D9+F9+H9+J9+L9+N9+P9+R9+T9+V9+X9+Z9+AB9+AD9+AF9+AH9+AJ9+AN9+AP9+AR9+AT9+AZ9+AL9+AX9+AV9+BB9</f>
        <v>0</v>
      </c>
      <c r="BF9" s="654">
        <f>C9+E9+G9+I9+K9+M9+O9+Q9+S9+U9+W9+Y9+AA9+AC9+AE9+AG9+AI9+AK9+AO9+AQ9+AS9+AU9+BA9+AM9+AY9+AW9+BC9</f>
        <v>0</v>
      </c>
      <c r="BG9" s="634"/>
    </row>
    <row r="10" spans="1:59" ht="18" customHeight="1" thickBot="1">
      <c r="A10" s="656" t="s">
        <v>3141</v>
      </c>
      <c r="B10" s="657">
        <f aca="true" t="shared" si="1" ref="B10:BF10">SUM(B5:B9)-B6-B7</f>
        <v>0</v>
      </c>
      <c r="C10" s="658">
        <f t="shared" si="1"/>
        <v>0</v>
      </c>
      <c r="D10" s="657">
        <f t="shared" si="1"/>
        <v>0</v>
      </c>
      <c r="E10" s="658">
        <f t="shared" si="1"/>
        <v>0</v>
      </c>
      <c r="F10" s="657">
        <f t="shared" si="1"/>
        <v>2261</v>
      </c>
      <c r="G10" s="658">
        <f t="shared" si="1"/>
        <v>2257.927</v>
      </c>
      <c r="H10" s="657">
        <f t="shared" si="1"/>
        <v>0</v>
      </c>
      <c r="I10" s="658">
        <f t="shared" si="1"/>
        <v>0</v>
      </c>
      <c r="J10" s="657">
        <f t="shared" si="1"/>
        <v>0</v>
      </c>
      <c r="K10" s="637">
        <f t="shared" si="1"/>
        <v>0</v>
      </c>
      <c r="L10" s="657">
        <f t="shared" si="1"/>
        <v>0</v>
      </c>
      <c r="M10" s="637">
        <f t="shared" si="1"/>
        <v>0</v>
      </c>
      <c r="N10" s="657">
        <f t="shared" si="1"/>
        <v>0</v>
      </c>
      <c r="O10" s="658">
        <f t="shared" si="1"/>
        <v>0</v>
      </c>
      <c r="P10" s="657">
        <f t="shared" si="1"/>
        <v>0</v>
      </c>
      <c r="Q10" s="658">
        <f t="shared" si="1"/>
        <v>0</v>
      </c>
      <c r="R10" s="657">
        <f t="shared" si="1"/>
        <v>0</v>
      </c>
      <c r="S10" s="637">
        <f t="shared" si="1"/>
        <v>0</v>
      </c>
      <c r="T10" s="636">
        <f t="shared" si="1"/>
        <v>0</v>
      </c>
      <c r="U10" s="637">
        <f t="shared" si="1"/>
        <v>0</v>
      </c>
      <c r="V10" s="636">
        <f t="shared" si="1"/>
        <v>0</v>
      </c>
      <c r="W10" s="658">
        <f t="shared" si="1"/>
        <v>0</v>
      </c>
      <c r="X10" s="657">
        <f t="shared" si="1"/>
        <v>140541</v>
      </c>
      <c r="Y10" s="658">
        <f t="shared" si="1"/>
        <v>312332.269</v>
      </c>
      <c r="Z10" s="657">
        <f t="shared" si="1"/>
        <v>152907</v>
      </c>
      <c r="AA10" s="658">
        <f t="shared" si="1"/>
        <v>100266.717</v>
      </c>
      <c r="AB10" s="657">
        <f t="shared" si="1"/>
        <v>2750</v>
      </c>
      <c r="AC10" s="637">
        <f t="shared" si="1"/>
        <v>2401.788</v>
      </c>
      <c r="AD10" s="657">
        <f t="shared" si="1"/>
        <v>32985</v>
      </c>
      <c r="AE10" s="637">
        <f t="shared" si="1"/>
        <v>34558.893</v>
      </c>
      <c r="AF10" s="657">
        <f t="shared" si="1"/>
        <v>7941</v>
      </c>
      <c r="AG10" s="658">
        <f t="shared" si="1"/>
        <v>7940.905</v>
      </c>
      <c r="AH10" s="657">
        <f t="shared" si="1"/>
        <v>43837</v>
      </c>
      <c r="AI10" s="658">
        <f t="shared" si="1"/>
        <v>65530.516</v>
      </c>
      <c r="AJ10" s="657">
        <f t="shared" si="1"/>
        <v>280620</v>
      </c>
      <c r="AK10" s="658">
        <f t="shared" si="1"/>
        <v>278386.207</v>
      </c>
      <c r="AL10" s="657">
        <f t="shared" si="1"/>
        <v>69240</v>
      </c>
      <c r="AM10" s="637">
        <f t="shared" si="1"/>
        <v>67601.354</v>
      </c>
      <c r="AN10" s="636">
        <f t="shared" si="1"/>
        <v>43184</v>
      </c>
      <c r="AO10" s="637">
        <f t="shared" si="1"/>
        <v>43183.125</v>
      </c>
      <c r="AP10" s="657">
        <f t="shared" si="1"/>
        <v>93100</v>
      </c>
      <c r="AQ10" s="637">
        <f t="shared" si="1"/>
        <v>111851.739</v>
      </c>
      <c r="AR10" s="657">
        <f t="shared" si="1"/>
        <v>18540</v>
      </c>
      <c r="AS10" s="658">
        <f t="shared" si="1"/>
        <v>17440.188</v>
      </c>
      <c r="AT10" s="657">
        <f t="shared" si="1"/>
        <v>672</v>
      </c>
      <c r="AU10" s="658">
        <f t="shared" si="1"/>
        <v>613.243</v>
      </c>
      <c r="AV10" s="657">
        <f t="shared" si="1"/>
        <v>270</v>
      </c>
      <c r="AW10" s="658">
        <f t="shared" si="1"/>
        <v>269.708</v>
      </c>
      <c r="AX10" s="657">
        <f t="shared" si="1"/>
        <v>0</v>
      </c>
      <c r="AY10" s="637">
        <f t="shared" si="1"/>
        <v>0</v>
      </c>
      <c r="AZ10" s="657">
        <f t="shared" si="1"/>
        <v>0</v>
      </c>
      <c r="BA10" s="658">
        <f t="shared" si="1"/>
        <v>0</v>
      </c>
      <c r="BB10" s="657">
        <f t="shared" si="1"/>
        <v>0</v>
      </c>
      <c r="BC10" s="658">
        <f t="shared" si="1"/>
        <v>0</v>
      </c>
      <c r="BD10" s="636">
        <f t="shared" si="1"/>
        <v>1055314</v>
      </c>
      <c r="BE10" s="636">
        <f t="shared" si="1"/>
        <v>888848</v>
      </c>
      <c r="BF10" s="637">
        <f t="shared" si="1"/>
        <v>1044634.5790000001</v>
      </c>
      <c r="BG10" s="634"/>
    </row>
    <row r="11" spans="1:59" ht="18" customHeight="1" thickBot="1">
      <c r="A11" s="656" t="s">
        <v>3142</v>
      </c>
      <c r="B11" s="636">
        <f aca="true" t="shared" si="2" ref="B11:BF11">B4+B10</f>
        <v>58301</v>
      </c>
      <c r="C11" s="637">
        <f t="shared" si="2"/>
        <v>58295.069</v>
      </c>
      <c r="D11" s="636">
        <f t="shared" si="2"/>
        <v>196129</v>
      </c>
      <c r="E11" s="637">
        <f t="shared" si="2"/>
        <v>137708.764</v>
      </c>
      <c r="F11" s="636">
        <f t="shared" si="2"/>
        <v>176437</v>
      </c>
      <c r="G11" s="637">
        <f t="shared" si="2"/>
        <v>176441.646</v>
      </c>
      <c r="H11" s="636">
        <f t="shared" si="2"/>
        <v>48852</v>
      </c>
      <c r="I11" s="637">
        <f t="shared" si="2"/>
        <v>48845.257</v>
      </c>
      <c r="J11" s="636">
        <f t="shared" si="2"/>
        <v>122502</v>
      </c>
      <c r="K11" s="637">
        <f t="shared" si="2"/>
        <v>103014.447</v>
      </c>
      <c r="L11" s="636">
        <f t="shared" si="2"/>
        <v>12969</v>
      </c>
      <c r="M11" s="637">
        <f t="shared" si="2"/>
        <v>10836.532</v>
      </c>
      <c r="N11" s="636">
        <f t="shared" si="2"/>
        <v>24206</v>
      </c>
      <c r="O11" s="637">
        <f t="shared" si="2"/>
        <v>24172.406</v>
      </c>
      <c r="P11" s="636">
        <f t="shared" si="2"/>
        <v>20820</v>
      </c>
      <c r="Q11" s="637">
        <f t="shared" si="2"/>
        <v>20820</v>
      </c>
      <c r="R11" s="636">
        <f t="shared" si="2"/>
        <v>15450</v>
      </c>
      <c r="S11" s="637">
        <f t="shared" si="2"/>
        <v>15447.443</v>
      </c>
      <c r="T11" s="636">
        <f t="shared" si="2"/>
        <v>31914</v>
      </c>
      <c r="U11" s="637">
        <f t="shared" si="2"/>
        <v>31902.329</v>
      </c>
      <c r="V11" s="636">
        <f t="shared" si="2"/>
        <v>6000</v>
      </c>
      <c r="W11" s="637">
        <f t="shared" si="2"/>
        <v>6000</v>
      </c>
      <c r="X11" s="636">
        <f t="shared" si="2"/>
        <v>140541</v>
      </c>
      <c r="Y11" s="637">
        <f t="shared" si="2"/>
        <v>312332.269</v>
      </c>
      <c r="Z11" s="636">
        <f t="shared" si="2"/>
        <v>165818</v>
      </c>
      <c r="AA11" s="637">
        <f t="shared" si="2"/>
        <v>113177.13100000001</v>
      </c>
      <c r="AB11" s="636">
        <f t="shared" si="2"/>
        <v>2750</v>
      </c>
      <c r="AC11" s="637">
        <f t="shared" si="2"/>
        <v>2401.788</v>
      </c>
      <c r="AD11" s="636">
        <f t="shared" si="2"/>
        <v>32985</v>
      </c>
      <c r="AE11" s="637">
        <f t="shared" si="2"/>
        <v>34558.893</v>
      </c>
      <c r="AF11" s="636">
        <f t="shared" si="2"/>
        <v>7941</v>
      </c>
      <c r="AG11" s="637">
        <f t="shared" si="2"/>
        <v>7940.905</v>
      </c>
      <c r="AH11" s="636">
        <f t="shared" si="2"/>
        <v>43837</v>
      </c>
      <c r="AI11" s="637">
        <f t="shared" si="2"/>
        <v>65530.516</v>
      </c>
      <c r="AJ11" s="636">
        <f t="shared" si="2"/>
        <v>381092</v>
      </c>
      <c r="AK11" s="637">
        <f t="shared" si="2"/>
        <v>378762.337</v>
      </c>
      <c r="AL11" s="636">
        <f t="shared" si="2"/>
        <v>69240</v>
      </c>
      <c r="AM11" s="637">
        <f t="shared" si="2"/>
        <v>67601.354</v>
      </c>
      <c r="AN11" s="636">
        <f t="shared" si="2"/>
        <v>43184</v>
      </c>
      <c r="AO11" s="637">
        <f t="shared" si="2"/>
        <v>43183.125</v>
      </c>
      <c r="AP11" s="636">
        <f t="shared" si="2"/>
        <v>93100</v>
      </c>
      <c r="AQ11" s="637">
        <f t="shared" si="2"/>
        <v>111851.739</v>
      </c>
      <c r="AR11" s="636">
        <f t="shared" si="2"/>
        <v>66102</v>
      </c>
      <c r="AS11" s="637">
        <f t="shared" si="2"/>
        <v>65076.129</v>
      </c>
      <c r="AT11" s="636">
        <f t="shared" si="2"/>
        <v>672</v>
      </c>
      <c r="AU11" s="637">
        <f t="shared" si="2"/>
        <v>613.243</v>
      </c>
      <c r="AV11" s="636">
        <f t="shared" si="2"/>
        <v>2601</v>
      </c>
      <c r="AW11" s="637">
        <f t="shared" si="2"/>
        <v>2598.871</v>
      </c>
      <c r="AX11" s="636">
        <f t="shared" si="2"/>
        <v>753</v>
      </c>
      <c r="AY11" s="637">
        <f t="shared" si="2"/>
        <v>802.007</v>
      </c>
      <c r="AZ11" s="636">
        <f t="shared" si="2"/>
        <v>0</v>
      </c>
      <c r="BA11" s="637">
        <f t="shared" si="2"/>
        <v>0</v>
      </c>
      <c r="BB11" s="636">
        <f t="shared" si="2"/>
        <v>72425</v>
      </c>
      <c r="BC11" s="637">
        <f t="shared" si="2"/>
        <v>97100.606</v>
      </c>
      <c r="BD11" s="636">
        <f t="shared" si="2"/>
        <v>2074143</v>
      </c>
      <c r="BE11" s="636">
        <f t="shared" si="2"/>
        <v>1836621</v>
      </c>
      <c r="BF11" s="637">
        <f t="shared" si="2"/>
        <v>1937014.8059999999</v>
      </c>
      <c r="BG11" s="634"/>
    </row>
    <row r="12" spans="1:59" ht="18" customHeight="1" hidden="1">
      <c r="A12" s="659" t="s">
        <v>2723</v>
      </c>
      <c r="B12" s="660"/>
      <c r="C12" s="661"/>
      <c r="D12" s="660"/>
      <c r="E12" s="661"/>
      <c r="F12" s="660"/>
      <c r="G12" s="661"/>
      <c r="H12" s="660"/>
      <c r="I12" s="661"/>
      <c r="J12" s="660"/>
      <c r="K12" s="661"/>
      <c r="L12" s="660"/>
      <c r="M12" s="661"/>
      <c r="N12" s="660"/>
      <c r="O12" s="661"/>
      <c r="P12" s="660"/>
      <c r="Q12" s="661"/>
      <c r="R12" s="660"/>
      <c r="S12" s="661"/>
      <c r="T12" s="660"/>
      <c r="U12" s="661"/>
      <c r="V12" s="660"/>
      <c r="W12" s="661"/>
      <c r="X12" s="660"/>
      <c r="Y12" s="661"/>
      <c r="Z12" s="660"/>
      <c r="AA12" s="661"/>
      <c r="AB12" s="660"/>
      <c r="AC12" s="661"/>
      <c r="AD12" s="660"/>
      <c r="AE12" s="661"/>
      <c r="AF12" s="660"/>
      <c r="AG12" s="661"/>
      <c r="AH12" s="660"/>
      <c r="AI12" s="661"/>
      <c r="AJ12" s="660"/>
      <c r="AK12" s="661"/>
      <c r="AL12" s="660"/>
      <c r="AM12" s="661"/>
      <c r="AN12" s="660"/>
      <c r="AO12" s="661"/>
      <c r="AP12" s="660"/>
      <c r="AQ12" s="661"/>
      <c r="AR12" s="660">
        <v>0</v>
      </c>
      <c r="AS12" s="661">
        <v>0</v>
      </c>
      <c r="AT12" s="660"/>
      <c r="AU12" s="661"/>
      <c r="AV12" s="660"/>
      <c r="AW12" s="661"/>
      <c r="AX12" s="660"/>
      <c r="AY12" s="661"/>
      <c r="AZ12" s="660"/>
      <c r="BA12" s="661"/>
      <c r="BB12" s="660"/>
      <c r="BC12" s="661"/>
      <c r="BD12" s="662"/>
      <c r="BE12" s="660">
        <f aca="true" t="shared" si="3" ref="BE12:BF19">B12+D12+F12+H12+J12+L12+N12+P12+R12+T12+V12+X12+Z12+AB12+AD12+AF12+AH12+AJ12+AN12+AP12+AR12+AT12+AZ12+AL12+AX12+AV12+BB12</f>
        <v>0</v>
      </c>
      <c r="BF12" s="661">
        <f t="shared" si="3"/>
        <v>0</v>
      </c>
      <c r="BG12" s="634"/>
    </row>
    <row r="13" spans="1:59" ht="18" customHeight="1" hidden="1">
      <c r="A13" s="659" t="s">
        <v>2724</v>
      </c>
      <c r="B13" s="660"/>
      <c r="C13" s="661"/>
      <c r="D13" s="660"/>
      <c r="E13" s="661"/>
      <c r="F13" s="660"/>
      <c r="G13" s="661"/>
      <c r="H13" s="660"/>
      <c r="I13" s="661"/>
      <c r="J13" s="660"/>
      <c r="K13" s="661"/>
      <c r="L13" s="660"/>
      <c r="M13" s="661"/>
      <c r="N13" s="660"/>
      <c r="O13" s="661"/>
      <c r="P13" s="660"/>
      <c r="Q13" s="661"/>
      <c r="R13" s="660"/>
      <c r="S13" s="661"/>
      <c r="T13" s="660"/>
      <c r="U13" s="661"/>
      <c r="V13" s="660"/>
      <c r="W13" s="661"/>
      <c r="X13" s="660"/>
      <c r="Y13" s="661"/>
      <c r="Z13" s="660"/>
      <c r="AA13" s="661"/>
      <c r="AB13" s="660"/>
      <c r="AC13" s="661"/>
      <c r="AD13" s="660"/>
      <c r="AE13" s="661"/>
      <c r="AF13" s="660"/>
      <c r="AG13" s="661"/>
      <c r="AH13" s="660"/>
      <c r="AI13" s="661"/>
      <c r="AJ13" s="660"/>
      <c r="AK13" s="661"/>
      <c r="AL13" s="660"/>
      <c r="AM13" s="661"/>
      <c r="AN13" s="660"/>
      <c r="AO13" s="661"/>
      <c r="AP13" s="660"/>
      <c r="AQ13" s="661"/>
      <c r="AR13" s="660">
        <v>0</v>
      </c>
      <c r="AS13" s="661">
        <v>0</v>
      </c>
      <c r="AT13" s="660"/>
      <c r="AU13" s="661"/>
      <c r="AV13" s="660"/>
      <c r="AW13" s="661"/>
      <c r="AX13" s="660"/>
      <c r="AY13" s="661"/>
      <c r="AZ13" s="660"/>
      <c r="BA13" s="661"/>
      <c r="BB13" s="660"/>
      <c r="BC13" s="663"/>
      <c r="BD13" s="662"/>
      <c r="BE13" s="660">
        <f t="shared" si="3"/>
        <v>0</v>
      </c>
      <c r="BF13" s="661">
        <f t="shared" si="3"/>
        <v>0</v>
      </c>
      <c r="BG13" s="634"/>
    </row>
    <row r="14" spans="1:59" ht="18" customHeight="1" hidden="1">
      <c r="A14" s="659" t="s">
        <v>2725</v>
      </c>
      <c r="B14" s="660"/>
      <c r="C14" s="661"/>
      <c r="D14" s="660"/>
      <c r="E14" s="661"/>
      <c r="F14" s="660"/>
      <c r="G14" s="661"/>
      <c r="H14" s="660"/>
      <c r="I14" s="661"/>
      <c r="J14" s="660"/>
      <c r="K14" s="661"/>
      <c r="L14" s="660"/>
      <c r="M14" s="661"/>
      <c r="N14" s="660"/>
      <c r="O14" s="661"/>
      <c r="P14" s="660"/>
      <c r="Q14" s="661"/>
      <c r="R14" s="660"/>
      <c r="S14" s="661"/>
      <c r="T14" s="660"/>
      <c r="U14" s="661"/>
      <c r="V14" s="660"/>
      <c r="W14" s="661"/>
      <c r="X14" s="660"/>
      <c r="Y14" s="661"/>
      <c r="Z14" s="660"/>
      <c r="AA14" s="661"/>
      <c r="AB14" s="660"/>
      <c r="AC14" s="661"/>
      <c r="AD14" s="660"/>
      <c r="AE14" s="661"/>
      <c r="AF14" s="660"/>
      <c r="AG14" s="661"/>
      <c r="AH14" s="660"/>
      <c r="AI14" s="661"/>
      <c r="AJ14" s="660"/>
      <c r="AK14" s="661"/>
      <c r="AL14" s="660"/>
      <c r="AM14" s="661"/>
      <c r="AN14" s="660"/>
      <c r="AO14" s="661"/>
      <c r="AP14" s="660"/>
      <c r="AQ14" s="661"/>
      <c r="AR14" s="660">
        <v>0</v>
      </c>
      <c r="AS14" s="661">
        <v>0</v>
      </c>
      <c r="AT14" s="660"/>
      <c r="AU14" s="661"/>
      <c r="AV14" s="660"/>
      <c r="AW14" s="661"/>
      <c r="AX14" s="660"/>
      <c r="AY14" s="661"/>
      <c r="AZ14" s="660"/>
      <c r="BA14" s="661"/>
      <c r="BB14" s="660"/>
      <c r="BC14" s="661"/>
      <c r="BD14" s="662"/>
      <c r="BE14" s="660">
        <f t="shared" si="3"/>
        <v>0</v>
      </c>
      <c r="BF14" s="661">
        <f t="shared" si="3"/>
        <v>0</v>
      </c>
      <c r="BG14" s="634"/>
    </row>
    <row r="15" spans="1:59" ht="18" customHeight="1" hidden="1">
      <c r="A15" s="659" t="s">
        <v>2726</v>
      </c>
      <c r="B15" s="660"/>
      <c r="C15" s="661"/>
      <c r="D15" s="660"/>
      <c r="E15" s="661"/>
      <c r="F15" s="660"/>
      <c r="G15" s="661"/>
      <c r="H15" s="660"/>
      <c r="I15" s="661"/>
      <c r="J15" s="660"/>
      <c r="K15" s="661"/>
      <c r="L15" s="660"/>
      <c r="M15" s="661"/>
      <c r="N15" s="660"/>
      <c r="O15" s="661"/>
      <c r="P15" s="660"/>
      <c r="Q15" s="661"/>
      <c r="R15" s="660"/>
      <c r="S15" s="661"/>
      <c r="T15" s="660"/>
      <c r="U15" s="661"/>
      <c r="V15" s="660"/>
      <c r="W15" s="661"/>
      <c r="X15" s="660"/>
      <c r="Y15" s="661"/>
      <c r="Z15" s="660"/>
      <c r="AA15" s="661"/>
      <c r="AB15" s="660"/>
      <c r="AC15" s="661"/>
      <c r="AD15" s="660"/>
      <c r="AE15" s="661"/>
      <c r="AF15" s="660"/>
      <c r="AG15" s="661"/>
      <c r="AH15" s="660"/>
      <c r="AI15" s="661"/>
      <c r="AJ15" s="660"/>
      <c r="AK15" s="661"/>
      <c r="AL15" s="660"/>
      <c r="AM15" s="661"/>
      <c r="AN15" s="660"/>
      <c r="AO15" s="661"/>
      <c r="AP15" s="660"/>
      <c r="AQ15" s="661"/>
      <c r="AR15" s="660">
        <v>0</v>
      </c>
      <c r="AS15" s="661">
        <v>0</v>
      </c>
      <c r="AT15" s="660"/>
      <c r="AU15" s="661"/>
      <c r="AV15" s="660"/>
      <c r="AW15" s="661"/>
      <c r="AX15" s="660"/>
      <c r="AY15" s="661"/>
      <c r="AZ15" s="660"/>
      <c r="BA15" s="661"/>
      <c r="BB15" s="660"/>
      <c r="BC15" s="661"/>
      <c r="BD15" s="662"/>
      <c r="BE15" s="660">
        <f t="shared" si="3"/>
        <v>0</v>
      </c>
      <c r="BF15" s="661">
        <f t="shared" si="3"/>
        <v>0</v>
      </c>
      <c r="BG15" s="634"/>
    </row>
    <row r="16" spans="1:59" ht="18" customHeight="1" hidden="1">
      <c r="A16" s="659" t="s">
        <v>2727</v>
      </c>
      <c r="B16" s="660"/>
      <c r="C16" s="661"/>
      <c r="D16" s="660"/>
      <c r="E16" s="661"/>
      <c r="F16" s="660"/>
      <c r="G16" s="661"/>
      <c r="H16" s="660"/>
      <c r="I16" s="661"/>
      <c r="J16" s="660"/>
      <c r="K16" s="661"/>
      <c r="L16" s="660"/>
      <c r="M16" s="661"/>
      <c r="N16" s="660"/>
      <c r="O16" s="661"/>
      <c r="P16" s="660"/>
      <c r="Q16" s="661"/>
      <c r="R16" s="660"/>
      <c r="S16" s="661"/>
      <c r="T16" s="660"/>
      <c r="U16" s="661"/>
      <c r="V16" s="660"/>
      <c r="W16" s="661"/>
      <c r="X16" s="660"/>
      <c r="Y16" s="661"/>
      <c r="Z16" s="660"/>
      <c r="AA16" s="661"/>
      <c r="AB16" s="660"/>
      <c r="AC16" s="661"/>
      <c r="AD16" s="660"/>
      <c r="AE16" s="661"/>
      <c r="AF16" s="660"/>
      <c r="AG16" s="661"/>
      <c r="AH16" s="660"/>
      <c r="AI16" s="661"/>
      <c r="AJ16" s="660"/>
      <c r="AK16" s="661"/>
      <c r="AL16" s="660"/>
      <c r="AM16" s="661"/>
      <c r="AN16" s="660"/>
      <c r="AO16" s="661"/>
      <c r="AP16" s="660"/>
      <c r="AQ16" s="661"/>
      <c r="AR16" s="660">
        <v>0</v>
      </c>
      <c r="AS16" s="661">
        <v>0</v>
      </c>
      <c r="AT16" s="660"/>
      <c r="AU16" s="661"/>
      <c r="AV16" s="660"/>
      <c r="AW16" s="661"/>
      <c r="AX16" s="660"/>
      <c r="AY16" s="661"/>
      <c r="AZ16" s="660"/>
      <c r="BA16" s="661"/>
      <c r="BB16" s="660"/>
      <c r="BC16" s="661"/>
      <c r="BD16" s="662"/>
      <c r="BE16" s="660">
        <f t="shared" si="3"/>
        <v>0</v>
      </c>
      <c r="BF16" s="661">
        <f t="shared" si="3"/>
        <v>0</v>
      </c>
      <c r="BG16" s="634"/>
    </row>
    <row r="17" spans="1:59" ht="18" customHeight="1" hidden="1">
      <c r="A17" s="659" t="s">
        <v>2728</v>
      </c>
      <c r="B17" s="660"/>
      <c r="C17" s="661"/>
      <c r="D17" s="660"/>
      <c r="E17" s="661"/>
      <c r="F17" s="660"/>
      <c r="G17" s="661"/>
      <c r="H17" s="660"/>
      <c r="I17" s="661"/>
      <c r="J17" s="660"/>
      <c r="K17" s="661"/>
      <c r="L17" s="660"/>
      <c r="M17" s="661"/>
      <c r="N17" s="660"/>
      <c r="O17" s="661"/>
      <c r="P17" s="660"/>
      <c r="Q17" s="661"/>
      <c r="R17" s="660"/>
      <c r="S17" s="661"/>
      <c r="T17" s="660"/>
      <c r="U17" s="661"/>
      <c r="V17" s="660"/>
      <c r="W17" s="661"/>
      <c r="X17" s="660"/>
      <c r="Y17" s="661"/>
      <c r="Z17" s="660"/>
      <c r="AA17" s="661"/>
      <c r="AB17" s="660"/>
      <c r="AC17" s="661"/>
      <c r="AD17" s="660"/>
      <c r="AE17" s="661"/>
      <c r="AF17" s="660"/>
      <c r="AG17" s="661"/>
      <c r="AH17" s="660"/>
      <c r="AI17" s="661"/>
      <c r="AJ17" s="660"/>
      <c r="AK17" s="661"/>
      <c r="AL17" s="660"/>
      <c r="AM17" s="661"/>
      <c r="AN17" s="660"/>
      <c r="AO17" s="661"/>
      <c r="AP17" s="660"/>
      <c r="AQ17" s="661"/>
      <c r="AR17" s="660">
        <v>0</v>
      </c>
      <c r="AS17" s="661">
        <v>0</v>
      </c>
      <c r="AT17" s="660"/>
      <c r="AU17" s="661"/>
      <c r="AV17" s="660"/>
      <c r="AW17" s="661"/>
      <c r="AX17" s="660"/>
      <c r="AY17" s="661"/>
      <c r="AZ17" s="660"/>
      <c r="BA17" s="661"/>
      <c r="BB17" s="660"/>
      <c r="BC17" s="661"/>
      <c r="BD17" s="662"/>
      <c r="BE17" s="660">
        <f t="shared" si="3"/>
        <v>0</v>
      </c>
      <c r="BF17" s="661">
        <f t="shared" si="3"/>
        <v>0</v>
      </c>
      <c r="BG17" s="634"/>
    </row>
    <row r="18" spans="1:59" ht="18" customHeight="1" hidden="1">
      <c r="A18" s="659" t="s">
        <v>2729</v>
      </c>
      <c r="B18" s="660"/>
      <c r="C18" s="661"/>
      <c r="D18" s="660"/>
      <c r="E18" s="661"/>
      <c r="F18" s="660"/>
      <c r="G18" s="661"/>
      <c r="H18" s="660"/>
      <c r="I18" s="661"/>
      <c r="J18" s="660"/>
      <c r="K18" s="661"/>
      <c r="L18" s="660"/>
      <c r="M18" s="661"/>
      <c r="N18" s="660"/>
      <c r="O18" s="661"/>
      <c r="P18" s="660"/>
      <c r="Q18" s="661"/>
      <c r="R18" s="660"/>
      <c r="S18" s="661"/>
      <c r="T18" s="660"/>
      <c r="U18" s="661"/>
      <c r="V18" s="660"/>
      <c r="W18" s="661"/>
      <c r="X18" s="660"/>
      <c r="Y18" s="661"/>
      <c r="Z18" s="660"/>
      <c r="AA18" s="661"/>
      <c r="AB18" s="660"/>
      <c r="AC18" s="661"/>
      <c r="AD18" s="660"/>
      <c r="AE18" s="661"/>
      <c r="AF18" s="660"/>
      <c r="AG18" s="661"/>
      <c r="AH18" s="660"/>
      <c r="AI18" s="661"/>
      <c r="AJ18" s="660"/>
      <c r="AK18" s="661"/>
      <c r="AL18" s="660"/>
      <c r="AM18" s="661"/>
      <c r="AN18" s="660"/>
      <c r="AO18" s="661"/>
      <c r="AP18" s="660"/>
      <c r="AQ18" s="661"/>
      <c r="AR18" s="660">
        <v>0</v>
      </c>
      <c r="AS18" s="661">
        <v>0</v>
      </c>
      <c r="AT18" s="660"/>
      <c r="AU18" s="661"/>
      <c r="AV18" s="660"/>
      <c r="AW18" s="661"/>
      <c r="AX18" s="660"/>
      <c r="AY18" s="661"/>
      <c r="AZ18" s="660"/>
      <c r="BA18" s="661"/>
      <c r="BB18" s="660"/>
      <c r="BC18" s="661"/>
      <c r="BD18" s="662"/>
      <c r="BE18" s="660">
        <f t="shared" si="3"/>
        <v>0</v>
      </c>
      <c r="BF18" s="661">
        <f t="shared" si="3"/>
        <v>0</v>
      </c>
      <c r="BG18" s="634"/>
    </row>
    <row r="19" spans="1:59" ht="18" customHeight="1" hidden="1" thickBot="1">
      <c r="A19" s="659" t="s">
        <v>2730</v>
      </c>
      <c r="B19" s="660"/>
      <c r="C19" s="661"/>
      <c r="D19" s="660"/>
      <c r="E19" s="661"/>
      <c r="F19" s="660"/>
      <c r="G19" s="661"/>
      <c r="H19" s="660"/>
      <c r="I19" s="661"/>
      <c r="J19" s="660"/>
      <c r="K19" s="661"/>
      <c r="L19" s="660"/>
      <c r="M19" s="661"/>
      <c r="N19" s="660"/>
      <c r="O19" s="661"/>
      <c r="P19" s="660"/>
      <c r="Q19" s="661"/>
      <c r="R19" s="660"/>
      <c r="S19" s="661"/>
      <c r="T19" s="660"/>
      <c r="U19" s="661"/>
      <c r="V19" s="660"/>
      <c r="W19" s="661"/>
      <c r="X19" s="660"/>
      <c r="Y19" s="661"/>
      <c r="Z19" s="660"/>
      <c r="AA19" s="661"/>
      <c r="AB19" s="660"/>
      <c r="AC19" s="661"/>
      <c r="AD19" s="660"/>
      <c r="AE19" s="661"/>
      <c r="AF19" s="660"/>
      <c r="AG19" s="661"/>
      <c r="AH19" s="660"/>
      <c r="AI19" s="661"/>
      <c r="AJ19" s="660"/>
      <c r="AK19" s="661"/>
      <c r="AL19" s="660"/>
      <c r="AM19" s="661"/>
      <c r="AN19" s="660"/>
      <c r="AO19" s="661"/>
      <c r="AP19" s="660"/>
      <c r="AQ19" s="661"/>
      <c r="AR19" s="660">
        <v>0</v>
      </c>
      <c r="AS19" s="661">
        <v>0</v>
      </c>
      <c r="AT19" s="660"/>
      <c r="AU19" s="661"/>
      <c r="AV19" s="660"/>
      <c r="AW19" s="661"/>
      <c r="AX19" s="660"/>
      <c r="AY19" s="661"/>
      <c r="AZ19" s="660"/>
      <c r="BA19" s="661"/>
      <c r="BB19" s="660"/>
      <c r="BC19" s="661"/>
      <c r="BD19" s="662"/>
      <c r="BE19" s="660">
        <f t="shared" si="3"/>
        <v>0</v>
      </c>
      <c r="BF19" s="661">
        <f t="shared" si="3"/>
        <v>0</v>
      </c>
      <c r="BG19" s="634"/>
    </row>
    <row r="20" spans="1:59" ht="18" customHeight="1" hidden="1" thickBot="1">
      <c r="A20" s="656" t="s">
        <v>3143</v>
      </c>
      <c r="B20" s="636">
        <f aca="true" t="shared" si="4" ref="B20:BF20">SUM(B12:B19)</f>
        <v>0</v>
      </c>
      <c r="C20" s="637">
        <f t="shared" si="4"/>
        <v>0</v>
      </c>
      <c r="D20" s="636">
        <f t="shared" si="4"/>
        <v>0</v>
      </c>
      <c r="E20" s="637">
        <f t="shared" si="4"/>
        <v>0</v>
      </c>
      <c r="F20" s="636">
        <f t="shared" si="4"/>
        <v>0</v>
      </c>
      <c r="G20" s="637">
        <f t="shared" si="4"/>
        <v>0</v>
      </c>
      <c r="H20" s="636">
        <f t="shared" si="4"/>
        <v>0</v>
      </c>
      <c r="I20" s="637">
        <f t="shared" si="4"/>
        <v>0</v>
      </c>
      <c r="J20" s="636">
        <f t="shared" si="4"/>
        <v>0</v>
      </c>
      <c r="K20" s="637">
        <f t="shared" si="4"/>
        <v>0</v>
      </c>
      <c r="L20" s="636">
        <f t="shared" si="4"/>
        <v>0</v>
      </c>
      <c r="M20" s="637">
        <f t="shared" si="4"/>
        <v>0</v>
      </c>
      <c r="N20" s="636">
        <f t="shared" si="4"/>
        <v>0</v>
      </c>
      <c r="O20" s="637">
        <f t="shared" si="4"/>
        <v>0</v>
      </c>
      <c r="P20" s="636">
        <f t="shared" si="4"/>
        <v>0</v>
      </c>
      <c r="Q20" s="637">
        <f t="shared" si="4"/>
        <v>0</v>
      </c>
      <c r="R20" s="636">
        <f t="shared" si="4"/>
        <v>0</v>
      </c>
      <c r="S20" s="637">
        <f t="shared" si="4"/>
        <v>0</v>
      </c>
      <c r="T20" s="636">
        <f t="shared" si="4"/>
        <v>0</v>
      </c>
      <c r="U20" s="637">
        <f t="shared" si="4"/>
        <v>0</v>
      </c>
      <c r="V20" s="636">
        <f t="shared" si="4"/>
        <v>0</v>
      </c>
      <c r="W20" s="637">
        <f t="shared" si="4"/>
        <v>0</v>
      </c>
      <c r="X20" s="636">
        <f t="shared" si="4"/>
        <v>0</v>
      </c>
      <c r="Y20" s="637">
        <f t="shared" si="4"/>
        <v>0</v>
      </c>
      <c r="Z20" s="636">
        <f t="shared" si="4"/>
        <v>0</v>
      </c>
      <c r="AA20" s="637">
        <f t="shared" si="4"/>
        <v>0</v>
      </c>
      <c r="AB20" s="636">
        <f t="shared" si="4"/>
        <v>0</v>
      </c>
      <c r="AC20" s="636">
        <f t="shared" si="4"/>
        <v>0</v>
      </c>
      <c r="AD20" s="636">
        <f t="shared" si="4"/>
        <v>0</v>
      </c>
      <c r="AE20" s="636">
        <f t="shared" si="4"/>
        <v>0</v>
      </c>
      <c r="AF20" s="636">
        <f t="shared" si="4"/>
        <v>0</v>
      </c>
      <c r="AG20" s="636">
        <f t="shared" si="4"/>
        <v>0</v>
      </c>
      <c r="AH20" s="636">
        <f t="shared" si="4"/>
        <v>0</v>
      </c>
      <c r="AI20" s="636">
        <f t="shared" si="4"/>
        <v>0</v>
      </c>
      <c r="AJ20" s="636">
        <f t="shared" si="4"/>
        <v>0</v>
      </c>
      <c r="AK20" s="637">
        <f t="shared" si="4"/>
        <v>0</v>
      </c>
      <c r="AL20" s="636">
        <f t="shared" si="4"/>
        <v>0</v>
      </c>
      <c r="AM20" s="636">
        <f t="shared" si="4"/>
        <v>0</v>
      </c>
      <c r="AN20" s="636">
        <f t="shared" si="4"/>
        <v>0</v>
      </c>
      <c r="AO20" s="636">
        <f t="shared" si="4"/>
        <v>0</v>
      </c>
      <c r="AP20" s="636">
        <f t="shared" si="4"/>
        <v>0</v>
      </c>
      <c r="AQ20" s="636">
        <f t="shared" si="4"/>
        <v>0</v>
      </c>
      <c r="AR20" s="636">
        <f t="shared" si="4"/>
        <v>0</v>
      </c>
      <c r="AS20" s="637">
        <f t="shared" si="4"/>
        <v>0</v>
      </c>
      <c r="AT20" s="636">
        <f t="shared" si="4"/>
        <v>0</v>
      </c>
      <c r="AU20" s="636">
        <f t="shared" si="4"/>
        <v>0</v>
      </c>
      <c r="AV20" s="636">
        <f t="shared" si="4"/>
        <v>0</v>
      </c>
      <c r="AW20" s="637">
        <f t="shared" si="4"/>
        <v>0</v>
      </c>
      <c r="AX20" s="636">
        <f t="shared" si="4"/>
        <v>0</v>
      </c>
      <c r="AY20" s="637">
        <f t="shared" si="4"/>
        <v>0</v>
      </c>
      <c r="AZ20" s="636">
        <f t="shared" si="4"/>
        <v>0</v>
      </c>
      <c r="BA20" s="637">
        <f t="shared" si="4"/>
        <v>0</v>
      </c>
      <c r="BB20" s="636">
        <f t="shared" si="4"/>
        <v>0</v>
      </c>
      <c r="BC20" s="637">
        <f t="shared" si="4"/>
        <v>0</v>
      </c>
      <c r="BD20" s="636">
        <f t="shared" si="4"/>
        <v>0</v>
      </c>
      <c r="BE20" s="636">
        <f t="shared" si="4"/>
        <v>0</v>
      </c>
      <c r="BF20" s="637">
        <f t="shared" si="4"/>
        <v>0</v>
      </c>
      <c r="BG20" s="634"/>
    </row>
    <row r="21" spans="1:59" ht="18" customHeight="1">
      <c r="A21" s="664" t="s">
        <v>3144</v>
      </c>
      <c r="B21" s="646"/>
      <c r="C21" s="647"/>
      <c r="D21" s="646"/>
      <c r="E21" s="647"/>
      <c r="F21" s="646">
        <v>334</v>
      </c>
      <c r="G21" s="647">
        <v>333.498</v>
      </c>
      <c r="H21" s="646">
        <v>1000</v>
      </c>
      <c r="I21" s="647">
        <v>999.6</v>
      </c>
      <c r="J21" s="646"/>
      <c r="K21" s="647"/>
      <c r="L21" s="646"/>
      <c r="M21" s="647"/>
      <c r="N21" s="646"/>
      <c r="O21" s="647"/>
      <c r="P21" s="646"/>
      <c r="Q21" s="647"/>
      <c r="R21" s="646"/>
      <c r="S21" s="647"/>
      <c r="T21" s="646"/>
      <c r="U21" s="647"/>
      <c r="V21" s="646"/>
      <c r="W21" s="647"/>
      <c r="X21" s="646"/>
      <c r="Y21" s="647"/>
      <c r="Z21" s="646"/>
      <c r="AA21" s="647"/>
      <c r="AB21" s="646"/>
      <c r="AC21" s="647"/>
      <c r="AD21" s="646"/>
      <c r="AE21" s="647"/>
      <c r="AF21" s="646"/>
      <c r="AG21" s="647"/>
      <c r="AH21" s="646"/>
      <c r="AI21" s="647"/>
      <c r="AJ21" s="646"/>
      <c r="AK21" s="647"/>
      <c r="AL21" s="646"/>
      <c r="AM21" s="647"/>
      <c r="AN21" s="646"/>
      <c r="AO21" s="647"/>
      <c r="AP21" s="646"/>
      <c r="AQ21" s="647"/>
      <c r="AR21" s="646"/>
      <c r="AS21" s="647"/>
      <c r="AT21" s="646"/>
      <c r="AU21" s="647"/>
      <c r="AV21" s="646"/>
      <c r="AW21" s="647"/>
      <c r="AX21" s="646"/>
      <c r="AY21" s="647"/>
      <c r="AZ21" s="646"/>
      <c r="BA21" s="647"/>
      <c r="BB21" s="646"/>
      <c r="BC21" s="647"/>
      <c r="BD21" s="665">
        <v>1550</v>
      </c>
      <c r="BE21" s="646">
        <f aca="true" t="shared" si="5" ref="BE21:BF26">B21+D21+F21+H21+J21+L21+N21+P21+R21+T21+V21+X21+Z21+AB21+AD21+AF21+AH21+AJ21+AN21+AP21+AR21+AT21+AZ21+AL21+AX21+AV21+BB21</f>
        <v>1334</v>
      </c>
      <c r="BF21" s="647">
        <f t="shared" si="5"/>
        <v>1333.098</v>
      </c>
      <c r="BG21" s="634"/>
    </row>
    <row r="22" spans="1:59" ht="18" customHeight="1">
      <c r="A22" s="664" t="s">
        <v>2588</v>
      </c>
      <c r="B22" s="646"/>
      <c r="C22" s="647"/>
      <c r="D22" s="646"/>
      <c r="E22" s="647"/>
      <c r="F22" s="646">
        <v>218</v>
      </c>
      <c r="G22" s="647">
        <v>217.24</v>
      </c>
      <c r="H22" s="646">
        <v>1150</v>
      </c>
      <c r="I22" s="647">
        <v>1149.809</v>
      </c>
      <c r="J22" s="646"/>
      <c r="K22" s="647"/>
      <c r="L22" s="646"/>
      <c r="M22" s="647"/>
      <c r="N22" s="646"/>
      <c r="O22" s="647"/>
      <c r="P22" s="646"/>
      <c r="Q22" s="647"/>
      <c r="R22" s="646"/>
      <c r="S22" s="647"/>
      <c r="T22" s="646"/>
      <c r="U22" s="647"/>
      <c r="V22" s="646"/>
      <c r="W22" s="647"/>
      <c r="X22" s="646"/>
      <c r="Y22" s="647"/>
      <c r="Z22" s="646"/>
      <c r="AA22" s="647"/>
      <c r="AB22" s="646"/>
      <c r="AC22" s="647"/>
      <c r="AD22" s="646"/>
      <c r="AE22" s="647"/>
      <c r="AF22" s="646"/>
      <c r="AG22" s="647"/>
      <c r="AH22" s="646"/>
      <c r="AI22" s="647"/>
      <c r="AJ22" s="646"/>
      <c r="AK22" s="647"/>
      <c r="AL22" s="646"/>
      <c r="AM22" s="647"/>
      <c r="AN22" s="646"/>
      <c r="AO22" s="647"/>
      <c r="AP22" s="646"/>
      <c r="AQ22" s="647"/>
      <c r="AR22" s="646"/>
      <c r="AS22" s="647"/>
      <c r="AT22" s="646"/>
      <c r="AU22" s="647"/>
      <c r="AV22" s="646"/>
      <c r="AW22" s="647"/>
      <c r="AX22" s="646"/>
      <c r="AY22" s="647"/>
      <c r="AZ22" s="646"/>
      <c r="BA22" s="647"/>
      <c r="BB22" s="646"/>
      <c r="BC22" s="647"/>
      <c r="BD22" s="665">
        <v>1500</v>
      </c>
      <c r="BE22" s="646">
        <f t="shared" si="5"/>
        <v>1368</v>
      </c>
      <c r="BF22" s="647">
        <f t="shared" si="5"/>
        <v>1367.049</v>
      </c>
      <c r="BG22" s="634"/>
    </row>
    <row r="23" spans="1:59" ht="18" customHeight="1">
      <c r="A23" s="664" t="s">
        <v>2589</v>
      </c>
      <c r="B23" s="646"/>
      <c r="C23" s="647"/>
      <c r="D23" s="646"/>
      <c r="E23" s="647"/>
      <c r="F23" s="646">
        <v>357</v>
      </c>
      <c r="G23" s="647">
        <v>356.487</v>
      </c>
      <c r="H23" s="646">
        <v>1180</v>
      </c>
      <c r="I23" s="647">
        <v>1180</v>
      </c>
      <c r="J23" s="646"/>
      <c r="K23" s="647"/>
      <c r="L23" s="646"/>
      <c r="M23" s="647"/>
      <c r="N23" s="646"/>
      <c r="O23" s="647"/>
      <c r="P23" s="646"/>
      <c r="Q23" s="647"/>
      <c r="R23" s="646"/>
      <c r="S23" s="647"/>
      <c r="T23" s="646"/>
      <c r="U23" s="647"/>
      <c r="V23" s="646"/>
      <c r="W23" s="647"/>
      <c r="X23" s="646"/>
      <c r="Y23" s="647"/>
      <c r="Z23" s="646"/>
      <c r="AA23" s="647"/>
      <c r="AB23" s="646"/>
      <c r="AC23" s="647"/>
      <c r="AD23" s="646"/>
      <c r="AE23" s="647"/>
      <c r="AF23" s="646"/>
      <c r="AG23" s="647"/>
      <c r="AH23" s="646"/>
      <c r="AI23" s="647"/>
      <c r="AJ23" s="646"/>
      <c r="AK23" s="647"/>
      <c r="AL23" s="646"/>
      <c r="AM23" s="647"/>
      <c r="AN23" s="646"/>
      <c r="AO23" s="647"/>
      <c r="AP23" s="646"/>
      <c r="AQ23" s="647"/>
      <c r="AR23" s="646"/>
      <c r="AS23" s="647"/>
      <c r="AT23" s="646"/>
      <c r="AU23" s="647"/>
      <c r="AV23" s="646"/>
      <c r="AW23" s="647"/>
      <c r="AX23" s="646"/>
      <c r="AY23" s="647"/>
      <c r="AZ23" s="646"/>
      <c r="BA23" s="647"/>
      <c r="BB23" s="646"/>
      <c r="BC23" s="647"/>
      <c r="BD23" s="665">
        <v>1705</v>
      </c>
      <c r="BE23" s="646">
        <f t="shared" si="5"/>
        <v>1537</v>
      </c>
      <c r="BF23" s="647">
        <f t="shared" si="5"/>
        <v>1536.487</v>
      </c>
      <c r="BG23" s="634"/>
    </row>
    <row r="24" spans="1:59" ht="18" customHeight="1">
      <c r="A24" s="664" t="s">
        <v>2590</v>
      </c>
      <c r="B24" s="646"/>
      <c r="C24" s="647"/>
      <c r="D24" s="646"/>
      <c r="E24" s="647"/>
      <c r="F24" s="646">
        <v>93</v>
      </c>
      <c r="G24" s="647">
        <v>92.164</v>
      </c>
      <c r="H24" s="646">
        <v>482</v>
      </c>
      <c r="I24" s="647">
        <v>481.144</v>
      </c>
      <c r="J24" s="646"/>
      <c r="K24" s="647"/>
      <c r="L24" s="646"/>
      <c r="M24" s="647"/>
      <c r="N24" s="646"/>
      <c r="O24" s="647"/>
      <c r="P24" s="646"/>
      <c r="Q24" s="647"/>
      <c r="R24" s="646"/>
      <c r="S24" s="647"/>
      <c r="T24" s="646"/>
      <c r="U24" s="647"/>
      <c r="V24" s="646"/>
      <c r="W24" s="647"/>
      <c r="X24" s="646"/>
      <c r="Y24" s="647"/>
      <c r="Z24" s="646"/>
      <c r="AA24" s="647"/>
      <c r="AB24" s="646"/>
      <c r="AC24" s="647"/>
      <c r="AD24" s="646"/>
      <c r="AE24" s="647"/>
      <c r="AF24" s="646"/>
      <c r="AG24" s="647"/>
      <c r="AH24" s="646"/>
      <c r="AI24" s="647"/>
      <c r="AJ24" s="646"/>
      <c r="AK24" s="647"/>
      <c r="AL24" s="646"/>
      <c r="AM24" s="647"/>
      <c r="AN24" s="646"/>
      <c r="AO24" s="647"/>
      <c r="AP24" s="646"/>
      <c r="AQ24" s="647"/>
      <c r="AR24" s="646"/>
      <c r="AS24" s="647"/>
      <c r="AT24" s="646"/>
      <c r="AU24" s="647"/>
      <c r="AV24" s="646"/>
      <c r="AW24" s="647"/>
      <c r="AX24" s="646"/>
      <c r="AY24" s="647"/>
      <c r="AZ24" s="646"/>
      <c r="BA24" s="647"/>
      <c r="BB24" s="646"/>
      <c r="BC24" s="647"/>
      <c r="BD24" s="666">
        <v>582</v>
      </c>
      <c r="BE24" s="646">
        <f t="shared" si="5"/>
        <v>575</v>
      </c>
      <c r="BF24" s="647">
        <f t="shared" si="5"/>
        <v>573.308</v>
      </c>
      <c r="BG24" s="634"/>
    </row>
    <row r="25" spans="1:59" ht="18" customHeight="1">
      <c r="A25" s="664" t="s">
        <v>2591</v>
      </c>
      <c r="B25" s="646"/>
      <c r="C25" s="647"/>
      <c r="D25" s="646"/>
      <c r="E25" s="647"/>
      <c r="F25" s="646">
        <v>165</v>
      </c>
      <c r="G25" s="647">
        <v>164.551</v>
      </c>
      <c r="H25" s="646">
        <v>400</v>
      </c>
      <c r="I25" s="647">
        <v>400</v>
      </c>
      <c r="J25" s="646"/>
      <c r="K25" s="647"/>
      <c r="L25" s="646"/>
      <c r="M25" s="647"/>
      <c r="N25" s="646"/>
      <c r="O25" s="647"/>
      <c r="P25" s="646"/>
      <c r="Q25" s="647"/>
      <c r="R25" s="646"/>
      <c r="S25" s="647"/>
      <c r="T25" s="646"/>
      <c r="U25" s="647"/>
      <c r="V25" s="646"/>
      <c r="W25" s="647"/>
      <c r="X25" s="646"/>
      <c r="Y25" s="647"/>
      <c r="Z25" s="646"/>
      <c r="AA25" s="647"/>
      <c r="AB25" s="646"/>
      <c r="AC25" s="647"/>
      <c r="AD25" s="646"/>
      <c r="AE25" s="647"/>
      <c r="AF25" s="646"/>
      <c r="AG25" s="647"/>
      <c r="AH25" s="646"/>
      <c r="AI25" s="647"/>
      <c r="AJ25" s="646"/>
      <c r="AK25" s="647"/>
      <c r="AL25" s="646"/>
      <c r="AM25" s="647"/>
      <c r="AN25" s="646"/>
      <c r="AO25" s="647"/>
      <c r="AP25" s="646"/>
      <c r="AQ25" s="647"/>
      <c r="AR25" s="646"/>
      <c r="AS25" s="647"/>
      <c r="AT25" s="646"/>
      <c r="AU25" s="647"/>
      <c r="AV25" s="646"/>
      <c r="AW25" s="647"/>
      <c r="AX25" s="646"/>
      <c r="AY25" s="647"/>
      <c r="AZ25" s="646"/>
      <c r="BA25" s="647"/>
      <c r="BB25" s="646"/>
      <c r="BC25" s="647"/>
      <c r="BD25" s="666">
        <v>605</v>
      </c>
      <c r="BE25" s="646">
        <f t="shared" si="5"/>
        <v>565</v>
      </c>
      <c r="BF25" s="647">
        <f t="shared" si="5"/>
        <v>564.5509999999999</v>
      </c>
      <c r="BG25" s="634"/>
    </row>
    <row r="26" spans="1:59" ht="18" customHeight="1" thickBot="1">
      <c r="A26" s="664" t="s">
        <v>3145</v>
      </c>
      <c r="B26" s="646"/>
      <c r="C26" s="647"/>
      <c r="D26" s="646"/>
      <c r="E26" s="647"/>
      <c r="F26" s="646">
        <v>119</v>
      </c>
      <c r="G26" s="647">
        <v>118.5</v>
      </c>
      <c r="H26" s="646">
        <v>96</v>
      </c>
      <c r="I26" s="647">
        <v>95.483</v>
      </c>
      <c r="J26" s="646"/>
      <c r="K26" s="647"/>
      <c r="L26" s="646"/>
      <c r="M26" s="647"/>
      <c r="N26" s="646"/>
      <c r="O26" s="647"/>
      <c r="P26" s="646"/>
      <c r="Q26" s="647"/>
      <c r="R26" s="646"/>
      <c r="S26" s="647"/>
      <c r="T26" s="646"/>
      <c r="U26" s="647"/>
      <c r="V26" s="646"/>
      <c r="W26" s="647"/>
      <c r="X26" s="646"/>
      <c r="Y26" s="647"/>
      <c r="Z26" s="646"/>
      <c r="AA26" s="647"/>
      <c r="AB26" s="646"/>
      <c r="AC26" s="647"/>
      <c r="AD26" s="646"/>
      <c r="AE26" s="647"/>
      <c r="AF26" s="646"/>
      <c r="AG26" s="647"/>
      <c r="AH26" s="646"/>
      <c r="AI26" s="647"/>
      <c r="AJ26" s="646"/>
      <c r="AK26" s="647"/>
      <c r="AL26" s="646"/>
      <c r="AM26" s="647"/>
      <c r="AN26" s="646"/>
      <c r="AO26" s="647"/>
      <c r="AP26" s="646"/>
      <c r="AQ26" s="647"/>
      <c r="AR26" s="646"/>
      <c r="AS26" s="647"/>
      <c r="AT26" s="646"/>
      <c r="AU26" s="647"/>
      <c r="AV26" s="646"/>
      <c r="AW26" s="647"/>
      <c r="AX26" s="646"/>
      <c r="AY26" s="647"/>
      <c r="AZ26" s="646"/>
      <c r="BA26" s="647"/>
      <c r="BB26" s="646"/>
      <c r="BC26" s="647"/>
      <c r="BD26" s="666">
        <v>188</v>
      </c>
      <c r="BE26" s="646">
        <f t="shared" si="5"/>
        <v>215</v>
      </c>
      <c r="BF26" s="647">
        <f t="shared" si="5"/>
        <v>213.983</v>
      </c>
      <c r="BG26" s="634"/>
    </row>
    <row r="27" spans="1:59" ht="18" customHeight="1" thickBot="1">
      <c r="A27" s="656" t="s">
        <v>3146</v>
      </c>
      <c r="B27" s="636">
        <f aca="true" t="shared" si="6" ref="B27:BF27">SUM(B21:B26)</f>
        <v>0</v>
      </c>
      <c r="C27" s="637">
        <f t="shared" si="6"/>
        <v>0</v>
      </c>
      <c r="D27" s="636">
        <f t="shared" si="6"/>
        <v>0</v>
      </c>
      <c r="E27" s="637">
        <f t="shared" si="6"/>
        <v>0</v>
      </c>
      <c r="F27" s="636">
        <f t="shared" si="6"/>
        <v>1286</v>
      </c>
      <c r="G27" s="637">
        <f t="shared" si="6"/>
        <v>1282.44</v>
      </c>
      <c r="H27" s="636">
        <f t="shared" si="6"/>
        <v>4308</v>
      </c>
      <c r="I27" s="637">
        <f t="shared" si="6"/>
        <v>4306.036</v>
      </c>
      <c r="J27" s="636">
        <f t="shared" si="6"/>
        <v>0</v>
      </c>
      <c r="K27" s="637">
        <f t="shared" si="6"/>
        <v>0</v>
      </c>
      <c r="L27" s="636">
        <f t="shared" si="6"/>
        <v>0</v>
      </c>
      <c r="M27" s="637">
        <f t="shared" si="6"/>
        <v>0</v>
      </c>
      <c r="N27" s="636">
        <f t="shared" si="6"/>
        <v>0</v>
      </c>
      <c r="O27" s="637">
        <f t="shared" si="6"/>
        <v>0</v>
      </c>
      <c r="P27" s="636">
        <f t="shared" si="6"/>
        <v>0</v>
      </c>
      <c r="Q27" s="637">
        <f t="shared" si="6"/>
        <v>0</v>
      </c>
      <c r="R27" s="636">
        <f t="shared" si="6"/>
        <v>0</v>
      </c>
      <c r="S27" s="637">
        <f t="shared" si="6"/>
        <v>0</v>
      </c>
      <c r="T27" s="636">
        <f t="shared" si="6"/>
        <v>0</v>
      </c>
      <c r="U27" s="637">
        <f t="shared" si="6"/>
        <v>0</v>
      </c>
      <c r="V27" s="636">
        <f t="shared" si="6"/>
        <v>0</v>
      </c>
      <c r="W27" s="637">
        <f t="shared" si="6"/>
        <v>0</v>
      </c>
      <c r="X27" s="636">
        <f t="shared" si="6"/>
        <v>0</v>
      </c>
      <c r="Y27" s="637">
        <f t="shared" si="6"/>
        <v>0</v>
      </c>
      <c r="Z27" s="636">
        <f t="shared" si="6"/>
        <v>0</v>
      </c>
      <c r="AA27" s="637">
        <f t="shared" si="6"/>
        <v>0</v>
      </c>
      <c r="AB27" s="636">
        <f t="shared" si="6"/>
        <v>0</v>
      </c>
      <c r="AC27" s="636">
        <f t="shared" si="6"/>
        <v>0</v>
      </c>
      <c r="AD27" s="636">
        <f t="shared" si="6"/>
        <v>0</v>
      </c>
      <c r="AE27" s="636">
        <f t="shared" si="6"/>
        <v>0</v>
      </c>
      <c r="AF27" s="636">
        <f t="shared" si="6"/>
        <v>0</v>
      </c>
      <c r="AG27" s="636">
        <f t="shared" si="6"/>
        <v>0</v>
      </c>
      <c r="AH27" s="636">
        <f t="shared" si="6"/>
        <v>0</v>
      </c>
      <c r="AI27" s="636">
        <f t="shared" si="6"/>
        <v>0</v>
      </c>
      <c r="AJ27" s="636">
        <f t="shared" si="6"/>
        <v>0</v>
      </c>
      <c r="AK27" s="637">
        <f t="shared" si="6"/>
        <v>0</v>
      </c>
      <c r="AL27" s="636">
        <f t="shared" si="6"/>
        <v>0</v>
      </c>
      <c r="AM27" s="636">
        <f t="shared" si="6"/>
        <v>0</v>
      </c>
      <c r="AN27" s="636">
        <f t="shared" si="6"/>
        <v>0</v>
      </c>
      <c r="AO27" s="636">
        <f t="shared" si="6"/>
        <v>0</v>
      </c>
      <c r="AP27" s="636">
        <f t="shared" si="6"/>
        <v>0</v>
      </c>
      <c r="AQ27" s="636">
        <f t="shared" si="6"/>
        <v>0</v>
      </c>
      <c r="AR27" s="636">
        <f t="shared" si="6"/>
        <v>0</v>
      </c>
      <c r="AS27" s="637">
        <f t="shared" si="6"/>
        <v>0</v>
      </c>
      <c r="AT27" s="636">
        <f t="shared" si="6"/>
        <v>0</v>
      </c>
      <c r="AU27" s="636">
        <f t="shared" si="6"/>
        <v>0</v>
      </c>
      <c r="AV27" s="636">
        <f t="shared" si="6"/>
        <v>0</v>
      </c>
      <c r="AW27" s="637">
        <f t="shared" si="6"/>
        <v>0</v>
      </c>
      <c r="AX27" s="636">
        <f t="shared" si="6"/>
        <v>0</v>
      </c>
      <c r="AY27" s="637">
        <f t="shared" si="6"/>
        <v>0</v>
      </c>
      <c r="AZ27" s="636">
        <f t="shared" si="6"/>
        <v>0</v>
      </c>
      <c r="BA27" s="637">
        <f t="shared" si="6"/>
        <v>0</v>
      </c>
      <c r="BB27" s="636">
        <f t="shared" si="6"/>
        <v>0</v>
      </c>
      <c r="BC27" s="637">
        <f t="shared" si="6"/>
        <v>0</v>
      </c>
      <c r="BD27" s="636">
        <f t="shared" si="6"/>
        <v>6130</v>
      </c>
      <c r="BE27" s="636">
        <f t="shared" si="6"/>
        <v>5594</v>
      </c>
      <c r="BF27" s="637">
        <f t="shared" si="6"/>
        <v>5588.476000000001</v>
      </c>
      <c r="BG27" s="634"/>
    </row>
    <row r="28" spans="1:59" ht="18" customHeight="1" thickBot="1">
      <c r="A28" s="648" t="s">
        <v>2593</v>
      </c>
      <c r="B28" s="649"/>
      <c r="C28" s="650"/>
      <c r="D28" s="649"/>
      <c r="E28" s="650"/>
      <c r="F28" s="649">
        <v>971</v>
      </c>
      <c r="G28" s="650">
        <v>970.941</v>
      </c>
      <c r="H28" s="649">
        <v>350</v>
      </c>
      <c r="I28" s="650">
        <v>349.993</v>
      </c>
      <c r="J28" s="649"/>
      <c r="K28" s="650"/>
      <c r="L28" s="649"/>
      <c r="M28" s="650"/>
      <c r="N28" s="649"/>
      <c r="O28" s="650"/>
      <c r="P28" s="649"/>
      <c r="Q28" s="650"/>
      <c r="R28" s="649"/>
      <c r="S28" s="650"/>
      <c r="T28" s="649"/>
      <c r="U28" s="650"/>
      <c r="V28" s="649"/>
      <c r="W28" s="650"/>
      <c r="X28" s="649"/>
      <c r="Y28" s="650"/>
      <c r="Z28" s="649"/>
      <c r="AA28" s="650"/>
      <c r="AB28" s="649"/>
      <c r="AC28" s="650"/>
      <c r="AD28" s="649"/>
      <c r="AE28" s="650"/>
      <c r="AF28" s="649"/>
      <c r="AG28" s="650"/>
      <c r="AH28" s="649"/>
      <c r="AI28" s="650"/>
      <c r="AJ28" s="649"/>
      <c r="AK28" s="650"/>
      <c r="AL28" s="649"/>
      <c r="AM28" s="650"/>
      <c r="AN28" s="649"/>
      <c r="AO28" s="650"/>
      <c r="AP28" s="649"/>
      <c r="AQ28" s="650"/>
      <c r="AR28" s="649"/>
      <c r="AS28" s="650"/>
      <c r="AT28" s="649"/>
      <c r="AU28" s="650"/>
      <c r="AV28" s="649"/>
      <c r="AW28" s="650"/>
      <c r="AX28" s="649"/>
      <c r="AY28" s="650"/>
      <c r="AZ28" s="649"/>
      <c r="BA28" s="650"/>
      <c r="BB28" s="649"/>
      <c r="BC28" s="650"/>
      <c r="BD28" s="667">
        <v>2128</v>
      </c>
      <c r="BE28" s="649">
        <f>B28+D28+F28+H28+J28+L28+N28+P28+R28+T28+V28+X28+Z28+AB28+AD28+AF28+AH28+AJ28+AN28+AP28+AR28+AT28+AZ28+AL28+AX28+AV28+BB28</f>
        <v>1321</v>
      </c>
      <c r="BF28" s="650">
        <f>C28+E28+G28+I28+K28+M28+O28+Q28+S28+U28+W28+Y28+AA28+AC28+AE28+AG28+AI28+AK28+AO28+AQ28+AS28+AU28+BA28+AM28+AY28+AW28+BC28</f>
        <v>1320.934</v>
      </c>
      <c r="BG28" s="634"/>
    </row>
    <row r="29" spans="1:59" ht="18" customHeight="1" hidden="1" thickBot="1">
      <c r="A29" s="656" t="s">
        <v>2594</v>
      </c>
      <c r="B29" s="636">
        <f aca="true" t="shared" si="7" ref="B29:BF29">SUM(B27:B28)</f>
        <v>0</v>
      </c>
      <c r="C29" s="637">
        <f t="shared" si="7"/>
        <v>0</v>
      </c>
      <c r="D29" s="636">
        <f t="shared" si="7"/>
        <v>0</v>
      </c>
      <c r="E29" s="637">
        <f t="shared" si="7"/>
        <v>0</v>
      </c>
      <c r="F29" s="636">
        <f t="shared" si="7"/>
        <v>2257</v>
      </c>
      <c r="G29" s="637">
        <f t="shared" si="7"/>
        <v>2253.3810000000003</v>
      </c>
      <c r="H29" s="636">
        <f t="shared" si="7"/>
        <v>4658</v>
      </c>
      <c r="I29" s="637">
        <f t="shared" si="7"/>
        <v>4656.029</v>
      </c>
      <c r="J29" s="636">
        <f t="shared" si="7"/>
        <v>0</v>
      </c>
      <c r="K29" s="637">
        <f t="shared" si="7"/>
        <v>0</v>
      </c>
      <c r="L29" s="636">
        <f t="shared" si="7"/>
        <v>0</v>
      </c>
      <c r="M29" s="637">
        <f t="shared" si="7"/>
        <v>0</v>
      </c>
      <c r="N29" s="636">
        <f t="shared" si="7"/>
        <v>0</v>
      </c>
      <c r="O29" s="637">
        <f t="shared" si="7"/>
        <v>0</v>
      </c>
      <c r="P29" s="636">
        <f t="shared" si="7"/>
        <v>0</v>
      </c>
      <c r="Q29" s="637">
        <f t="shared" si="7"/>
        <v>0</v>
      </c>
      <c r="R29" s="636">
        <f t="shared" si="7"/>
        <v>0</v>
      </c>
      <c r="S29" s="637">
        <f t="shared" si="7"/>
        <v>0</v>
      </c>
      <c r="T29" s="636">
        <f t="shared" si="7"/>
        <v>0</v>
      </c>
      <c r="U29" s="637">
        <f t="shared" si="7"/>
        <v>0</v>
      </c>
      <c r="V29" s="636">
        <f t="shared" si="7"/>
        <v>0</v>
      </c>
      <c r="W29" s="637">
        <f t="shared" si="7"/>
        <v>0</v>
      </c>
      <c r="X29" s="636">
        <f t="shared" si="7"/>
        <v>0</v>
      </c>
      <c r="Y29" s="637">
        <f t="shared" si="7"/>
        <v>0</v>
      </c>
      <c r="Z29" s="636">
        <f t="shared" si="7"/>
        <v>0</v>
      </c>
      <c r="AA29" s="637">
        <f t="shared" si="7"/>
        <v>0</v>
      </c>
      <c r="AB29" s="636">
        <f t="shared" si="7"/>
        <v>0</v>
      </c>
      <c r="AC29" s="636">
        <f t="shared" si="7"/>
        <v>0</v>
      </c>
      <c r="AD29" s="636">
        <f t="shared" si="7"/>
        <v>0</v>
      </c>
      <c r="AE29" s="636">
        <f t="shared" si="7"/>
        <v>0</v>
      </c>
      <c r="AF29" s="636">
        <f t="shared" si="7"/>
        <v>0</v>
      </c>
      <c r="AG29" s="636">
        <f t="shared" si="7"/>
        <v>0</v>
      </c>
      <c r="AH29" s="636">
        <f t="shared" si="7"/>
        <v>0</v>
      </c>
      <c r="AI29" s="636">
        <f t="shared" si="7"/>
        <v>0</v>
      </c>
      <c r="AJ29" s="636">
        <f t="shared" si="7"/>
        <v>0</v>
      </c>
      <c r="AK29" s="637">
        <f t="shared" si="7"/>
        <v>0</v>
      </c>
      <c r="AL29" s="636">
        <f t="shared" si="7"/>
        <v>0</v>
      </c>
      <c r="AM29" s="636">
        <f t="shared" si="7"/>
        <v>0</v>
      </c>
      <c r="AN29" s="636">
        <f t="shared" si="7"/>
        <v>0</v>
      </c>
      <c r="AO29" s="636">
        <f t="shared" si="7"/>
        <v>0</v>
      </c>
      <c r="AP29" s="636">
        <f t="shared" si="7"/>
        <v>0</v>
      </c>
      <c r="AQ29" s="636">
        <f t="shared" si="7"/>
        <v>0</v>
      </c>
      <c r="AR29" s="636">
        <f t="shared" si="7"/>
        <v>0</v>
      </c>
      <c r="AS29" s="637">
        <f t="shared" si="7"/>
        <v>0</v>
      </c>
      <c r="AT29" s="636">
        <f t="shared" si="7"/>
        <v>0</v>
      </c>
      <c r="AU29" s="636">
        <f t="shared" si="7"/>
        <v>0</v>
      </c>
      <c r="AV29" s="636">
        <f t="shared" si="7"/>
        <v>0</v>
      </c>
      <c r="AW29" s="637">
        <f t="shared" si="7"/>
        <v>0</v>
      </c>
      <c r="AX29" s="636">
        <f t="shared" si="7"/>
        <v>0</v>
      </c>
      <c r="AY29" s="637">
        <f t="shared" si="7"/>
        <v>0</v>
      </c>
      <c r="AZ29" s="636">
        <f t="shared" si="7"/>
        <v>0</v>
      </c>
      <c r="BA29" s="637">
        <f t="shared" si="7"/>
        <v>0</v>
      </c>
      <c r="BB29" s="636">
        <f t="shared" si="7"/>
        <v>0</v>
      </c>
      <c r="BC29" s="637">
        <f t="shared" si="7"/>
        <v>0</v>
      </c>
      <c r="BD29" s="636">
        <f t="shared" si="7"/>
        <v>8258</v>
      </c>
      <c r="BE29" s="636">
        <f t="shared" si="7"/>
        <v>6915</v>
      </c>
      <c r="BF29" s="637">
        <f t="shared" si="7"/>
        <v>6909.410000000001</v>
      </c>
      <c r="BG29" s="634"/>
    </row>
    <row r="30" spans="1:59" ht="18" customHeight="1" thickBot="1">
      <c r="A30" s="656" t="s">
        <v>3147</v>
      </c>
      <c r="B30" s="636">
        <f aca="true" t="shared" si="8" ref="B30:BF30">B29</f>
        <v>0</v>
      </c>
      <c r="C30" s="637">
        <f t="shared" si="8"/>
        <v>0</v>
      </c>
      <c r="D30" s="636">
        <f t="shared" si="8"/>
        <v>0</v>
      </c>
      <c r="E30" s="637">
        <f t="shared" si="8"/>
        <v>0</v>
      </c>
      <c r="F30" s="636">
        <f t="shared" si="8"/>
        <v>2257</v>
      </c>
      <c r="G30" s="637">
        <f t="shared" si="8"/>
        <v>2253.3810000000003</v>
      </c>
      <c r="H30" s="636">
        <f t="shared" si="8"/>
        <v>4658</v>
      </c>
      <c r="I30" s="637">
        <f t="shared" si="8"/>
        <v>4656.029</v>
      </c>
      <c r="J30" s="636">
        <f t="shared" si="8"/>
        <v>0</v>
      </c>
      <c r="K30" s="637">
        <f t="shared" si="8"/>
        <v>0</v>
      </c>
      <c r="L30" s="636">
        <f t="shared" si="8"/>
        <v>0</v>
      </c>
      <c r="M30" s="637">
        <f t="shared" si="8"/>
        <v>0</v>
      </c>
      <c r="N30" s="636">
        <f t="shared" si="8"/>
        <v>0</v>
      </c>
      <c r="O30" s="637">
        <f t="shared" si="8"/>
        <v>0</v>
      </c>
      <c r="P30" s="636">
        <f t="shared" si="8"/>
        <v>0</v>
      </c>
      <c r="Q30" s="637">
        <f t="shared" si="8"/>
        <v>0</v>
      </c>
      <c r="R30" s="636">
        <f t="shared" si="8"/>
        <v>0</v>
      </c>
      <c r="S30" s="637">
        <f t="shared" si="8"/>
        <v>0</v>
      </c>
      <c r="T30" s="636">
        <f t="shared" si="8"/>
        <v>0</v>
      </c>
      <c r="U30" s="637">
        <f t="shared" si="8"/>
        <v>0</v>
      </c>
      <c r="V30" s="636">
        <f t="shared" si="8"/>
        <v>0</v>
      </c>
      <c r="W30" s="637">
        <f t="shared" si="8"/>
        <v>0</v>
      </c>
      <c r="X30" s="636">
        <f t="shared" si="8"/>
        <v>0</v>
      </c>
      <c r="Y30" s="637">
        <f t="shared" si="8"/>
        <v>0</v>
      </c>
      <c r="Z30" s="636">
        <f t="shared" si="8"/>
        <v>0</v>
      </c>
      <c r="AA30" s="637">
        <f t="shared" si="8"/>
        <v>0</v>
      </c>
      <c r="AB30" s="636">
        <f t="shared" si="8"/>
        <v>0</v>
      </c>
      <c r="AC30" s="636">
        <f t="shared" si="8"/>
        <v>0</v>
      </c>
      <c r="AD30" s="636">
        <f t="shared" si="8"/>
        <v>0</v>
      </c>
      <c r="AE30" s="636">
        <f t="shared" si="8"/>
        <v>0</v>
      </c>
      <c r="AF30" s="636">
        <f t="shared" si="8"/>
        <v>0</v>
      </c>
      <c r="AG30" s="636">
        <f t="shared" si="8"/>
        <v>0</v>
      </c>
      <c r="AH30" s="636">
        <f t="shared" si="8"/>
        <v>0</v>
      </c>
      <c r="AI30" s="636">
        <f t="shared" si="8"/>
        <v>0</v>
      </c>
      <c r="AJ30" s="636">
        <f t="shared" si="8"/>
        <v>0</v>
      </c>
      <c r="AK30" s="637">
        <f t="shared" si="8"/>
        <v>0</v>
      </c>
      <c r="AL30" s="636">
        <f t="shared" si="8"/>
        <v>0</v>
      </c>
      <c r="AM30" s="636">
        <f t="shared" si="8"/>
        <v>0</v>
      </c>
      <c r="AN30" s="636">
        <f t="shared" si="8"/>
        <v>0</v>
      </c>
      <c r="AO30" s="636">
        <f t="shared" si="8"/>
        <v>0</v>
      </c>
      <c r="AP30" s="636">
        <f t="shared" si="8"/>
        <v>0</v>
      </c>
      <c r="AQ30" s="636">
        <f t="shared" si="8"/>
        <v>0</v>
      </c>
      <c r="AR30" s="636">
        <f t="shared" si="8"/>
        <v>0</v>
      </c>
      <c r="AS30" s="637">
        <f t="shared" si="8"/>
        <v>0</v>
      </c>
      <c r="AT30" s="636">
        <f t="shared" si="8"/>
        <v>0</v>
      </c>
      <c r="AU30" s="636">
        <f t="shared" si="8"/>
        <v>0</v>
      </c>
      <c r="AV30" s="636">
        <f t="shared" si="8"/>
        <v>0</v>
      </c>
      <c r="AW30" s="637">
        <f t="shared" si="8"/>
        <v>0</v>
      </c>
      <c r="AX30" s="636">
        <f t="shared" si="8"/>
        <v>0</v>
      </c>
      <c r="AY30" s="637">
        <f t="shared" si="8"/>
        <v>0</v>
      </c>
      <c r="AZ30" s="636">
        <f t="shared" si="8"/>
        <v>0</v>
      </c>
      <c r="BA30" s="637">
        <f t="shared" si="8"/>
        <v>0</v>
      </c>
      <c r="BB30" s="636">
        <f t="shared" si="8"/>
        <v>0</v>
      </c>
      <c r="BC30" s="637">
        <f t="shared" si="8"/>
        <v>0</v>
      </c>
      <c r="BD30" s="636">
        <f t="shared" si="8"/>
        <v>8258</v>
      </c>
      <c r="BE30" s="636">
        <f t="shared" si="8"/>
        <v>6915</v>
      </c>
      <c r="BF30" s="637">
        <f t="shared" si="8"/>
        <v>6909.410000000001</v>
      </c>
      <c r="BG30" s="634"/>
    </row>
    <row r="31" spans="1:59" ht="18" customHeight="1" hidden="1" thickBot="1">
      <c r="A31" s="652"/>
      <c r="B31" s="653"/>
      <c r="C31" s="654"/>
      <c r="D31" s="653"/>
      <c r="E31" s="654"/>
      <c r="F31" s="653"/>
      <c r="G31" s="654"/>
      <c r="H31" s="653"/>
      <c r="I31" s="654"/>
      <c r="J31" s="653"/>
      <c r="K31" s="654"/>
      <c r="L31" s="653"/>
      <c r="M31" s="654"/>
      <c r="N31" s="653"/>
      <c r="O31" s="654"/>
      <c r="P31" s="653"/>
      <c r="Q31" s="654"/>
      <c r="R31" s="653"/>
      <c r="S31" s="654"/>
      <c r="T31" s="653"/>
      <c r="U31" s="654"/>
      <c r="V31" s="653"/>
      <c r="W31" s="654"/>
      <c r="X31" s="653"/>
      <c r="Y31" s="654"/>
      <c r="Z31" s="653"/>
      <c r="AA31" s="654"/>
      <c r="AB31" s="653"/>
      <c r="AC31" s="654"/>
      <c r="AD31" s="653"/>
      <c r="AE31" s="654"/>
      <c r="AF31" s="653"/>
      <c r="AG31" s="654"/>
      <c r="AH31" s="653"/>
      <c r="AI31" s="654"/>
      <c r="AJ31" s="653"/>
      <c r="AK31" s="654"/>
      <c r="AL31" s="653"/>
      <c r="AM31" s="654"/>
      <c r="AN31" s="653"/>
      <c r="AO31" s="654"/>
      <c r="AP31" s="653"/>
      <c r="AQ31" s="654"/>
      <c r="AR31" s="653"/>
      <c r="AS31" s="654"/>
      <c r="AT31" s="653"/>
      <c r="AU31" s="654"/>
      <c r="AV31" s="653"/>
      <c r="AW31" s="654"/>
      <c r="AX31" s="653"/>
      <c r="AY31" s="654"/>
      <c r="AZ31" s="653"/>
      <c r="BA31" s="654"/>
      <c r="BB31" s="653"/>
      <c r="BC31" s="654"/>
      <c r="BD31" s="655"/>
      <c r="BE31" s="653">
        <f aca="true" t="shared" si="9" ref="BE31:BF35">B31+D31+F31+H31+J31+L31+N31+P31+R31+T31+V31+X31+Z31+AB31+AD31+AF31+AH31+AJ31+AN31+AP31+AR31+AT31+AZ31+AL31+AX31+AV31+BB31</f>
        <v>0</v>
      </c>
      <c r="BF31" s="654">
        <f t="shared" si="9"/>
        <v>0</v>
      </c>
      <c r="BG31" s="634"/>
    </row>
    <row r="32" spans="1:59" ht="18" customHeight="1" hidden="1" thickBot="1">
      <c r="A32" s="652"/>
      <c r="B32" s="653"/>
      <c r="C32" s="654"/>
      <c r="D32" s="653"/>
      <c r="E32" s="654"/>
      <c r="F32" s="653"/>
      <c r="G32" s="654"/>
      <c r="H32" s="653"/>
      <c r="I32" s="654"/>
      <c r="J32" s="653"/>
      <c r="K32" s="654"/>
      <c r="L32" s="653"/>
      <c r="M32" s="654"/>
      <c r="N32" s="653"/>
      <c r="O32" s="654"/>
      <c r="P32" s="653"/>
      <c r="Q32" s="654"/>
      <c r="R32" s="653"/>
      <c r="S32" s="654"/>
      <c r="T32" s="653"/>
      <c r="U32" s="654"/>
      <c r="V32" s="653"/>
      <c r="W32" s="654"/>
      <c r="X32" s="653"/>
      <c r="Y32" s="654"/>
      <c r="Z32" s="653"/>
      <c r="AA32" s="654"/>
      <c r="AB32" s="653"/>
      <c r="AC32" s="654"/>
      <c r="AD32" s="653"/>
      <c r="AE32" s="654"/>
      <c r="AF32" s="653"/>
      <c r="AG32" s="654"/>
      <c r="AH32" s="653"/>
      <c r="AI32" s="654"/>
      <c r="AJ32" s="653"/>
      <c r="AK32" s="654"/>
      <c r="AL32" s="653"/>
      <c r="AM32" s="654"/>
      <c r="AN32" s="653"/>
      <c r="AO32" s="654"/>
      <c r="AP32" s="653"/>
      <c r="AQ32" s="654"/>
      <c r="AR32" s="653"/>
      <c r="AS32" s="654"/>
      <c r="AT32" s="653"/>
      <c r="AU32" s="654"/>
      <c r="AV32" s="653"/>
      <c r="AW32" s="654"/>
      <c r="AX32" s="653"/>
      <c r="AY32" s="654"/>
      <c r="AZ32" s="653"/>
      <c r="BA32" s="654"/>
      <c r="BB32" s="653"/>
      <c r="BC32" s="654"/>
      <c r="BD32" s="655"/>
      <c r="BE32" s="653">
        <f t="shared" si="9"/>
        <v>0</v>
      </c>
      <c r="BF32" s="654">
        <f t="shared" si="9"/>
        <v>0</v>
      </c>
      <c r="BG32" s="634"/>
    </row>
    <row r="33" spans="1:59" ht="18" customHeight="1" hidden="1" thickBot="1">
      <c r="A33" s="652"/>
      <c r="B33" s="653"/>
      <c r="C33" s="654"/>
      <c r="D33" s="653"/>
      <c r="E33" s="654"/>
      <c r="F33" s="653"/>
      <c r="G33" s="654"/>
      <c r="H33" s="653"/>
      <c r="I33" s="654"/>
      <c r="J33" s="653"/>
      <c r="K33" s="654"/>
      <c r="L33" s="653"/>
      <c r="M33" s="654"/>
      <c r="N33" s="653"/>
      <c r="O33" s="654"/>
      <c r="P33" s="653"/>
      <c r="Q33" s="654"/>
      <c r="R33" s="653"/>
      <c r="S33" s="654"/>
      <c r="T33" s="653"/>
      <c r="U33" s="654"/>
      <c r="V33" s="653"/>
      <c r="W33" s="654"/>
      <c r="X33" s="653"/>
      <c r="Y33" s="654"/>
      <c r="Z33" s="653"/>
      <c r="AA33" s="654"/>
      <c r="AB33" s="653"/>
      <c r="AC33" s="654"/>
      <c r="AD33" s="653"/>
      <c r="AE33" s="654"/>
      <c r="AF33" s="653"/>
      <c r="AG33" s="654"/>
      <c r="AH33" s="653"/>
      <c r="AI33" s="654"/>
      <c r="AJ33" s="653"/>
      <c r="AK33" s="654"/>
      <c r="AL33" s="653"/>
      <c r="AM33" s="654"/>
      <c r="AN33" s="653"/>
      <c r="AO33" s="654"/>
      <c r="AP33" s="653"/>
      <c r="AQ33" s="654"/>
      <c r="AR33" s="653"/>
      <c r="AS33" s="654"/>
      <c r="AT33" s="653"/>
      <c r="AU33" s="654"/>
      <c r="AV33" s="653"/>
      <c r="AW33" s="654"/>
      <c r="AX33" s="653"/>
      <c r="AY33" s="654"/>
      <c r="AZ33" s="653"/>
      <c r="BA33" s="654"/>
      <c r="BB33" s="653"/>
      <c r="BC33" s="654"/>
      <c r="BD33" s="655"/>
      <c r="BE33" s="653">
        <f t="shared" si="9"/>
        <v>0</v>
      </c>
      <c r="BF33" s="654">
        <f t="shared" si="9"/>
        <v>0</v>
      </c>
      <c r="BG33" s="634"/>
    </row>
    <row r="34" spans="1:59" ht="18" customHeight="1" hidden="1" thickBot="1">
      <c r="A34" s="652"/>
      <c r="B34" s="653"/>
      <c r="C34" s="654"/>
      <c r="D34" s="653"/>
      <c r="E34" s="654"/>
      <c r="F34" s="653"/>
      <c r="G34" s="654"/>
      <c r="H34" s="653"/>
      <c r="I34" s="654"/>
      <c r="J34" s="653"/>
      <c r="K34" s="654"/>
      <c r="L34" s="653"/>
      <c r="M34" s="654"/>
      <c r="N34" s="653"/>
      <c r="O34" s="654"/>
      <c r="P34" s="653"/>
      <c r="Q34" s="654"/>
      <c r="R34" s="653"/>
      <c r="S34" s="654"/>
      <c r="T34" s="653"/>
      <c r="U34" s="654"/>
      <c r="V34" s="653"/>
      <c r="W34" s="654"/>
      <c r="X34" s="653"/>
      <c r="Y34" s="654"/>
      <c r="Z34" s="653"/>
      <c r="AA34" s="654"/>
      <c r="AB34" s="653"/>
      <c r="AC34" s="654"/>
      <c r="AD34" s="653"/>
      <c r="AE34" s="654"/>
      <c r="AF34" s="653"/>
      <c r="AG34" s="654"/>
      <c r="AH34" s="653"/>
      <c r="AI34" s="654"/>
      <c r="AJ34" s="653"/>
      <c r="AK34" s="654"/>
      <c r="AL34" s="653"/>
      <c r="AM34" s="654"/>
      <c r="AN34" s="653"/>
      <c r="AO34" s="654"/>
      <c r="AP34" s="653"/>
      <c r="AQ34" s="654"/>
      <c r="AR34" s="653"/>
      <c r="AS34" s="654"/>
      <c r="AT34" s="653"/>
      <c r="AU34" s="654"/>
      <c r="AV34" s="653"/>
      <c r="AW34" s="654"/>
      <c r="AX34" s="653"/>
      <c r="AY34" s="654"/>
      <c r="AZ34" s="653"/>
      <c r="BA34" s="654"/>
      <c r="BB34" s="653"/>
      <c r="BC34" s="654"/>
      <c r="BD34" s="655"/>
      <c r="BE34" s="653">
        <f t="shared" si="9"/>
        <v>0</v>
      </c>
      <c r="BF34" s="654">
        <f t="shared" si="9"/>
        <v>0</v>
      </c>
      <c r="BG34" s="634"/>
    </row>
    <row r="35" spans="1:59" ht="18" customHeight="1" hidden="1" thickBot="1">
      <c r="A35" s="652" t="s">
        <v>3148</v>
      </c>
      <c r="B35" s="653"/>
      <c r="C35" s="654"/>
      <c r="D35" s="653"/>
      <c r="E35" s="654"/>
      <c r="F35" s="653"/>
      <c r="G35" s="654"/>
      <c r="H35" s="653"/>
      <c r="I35" s="654"/>
      <c r="J35" s="653"/>
      <c r="K35" s="654"/>
      <c r="L35" s="653"/>
      <c r="M35" s="654"/>
      <c r="N35" s="653"/>
      <c r="O35" s="654"/>
      <c r="P35" s="653"/>
      <c r="Q35" s="654"/>
      <c r="R35" s="653"/>
      <c r="S35" s="654"/>
      <c r="T35" s="653"/>
      <c r="U35" s="654"/>
      <c r="V35" s="653"/>
      <c r="W35" s="654"/>
      <c r="X35" s="653"/>
      <c r="Y35" s="654"/>
      <c r="Z35" s="653"/>
      <c r="AA35" s="654"/>
      <c r="AB35" s="653"/>
      <c r="AC35" s="654"/>
      <c r="AD35" s="653"/>
      <c r="AE35" s="654"/>
      <c r="AF35" s="653"/>
      <c r="AG35" s="654"/>
      <c r="AH35" s="653"/>
      <c r="AI35" s="654"/>
      <c r="AJ35" s="653"/>
      <c r="AK35" s="654"/>
      <c r="AL35" s="653"/>
      <c r="AM35" s="654"/>
      <c r="AN35" s="653"/>
      <c r="AO35" s="654"/>
      <c r="AP35" s="653"/>
      <c r="AQ35" s="654"/>
      <c r="AR35" s="653"/>
      <c r="AS35" s="654"/>
      <c r="AT35" s="653"/>
      <c r="AU35" s="654"/>
      <c r="AV35" s="653"/>
      <c r="AW35" s="654"/>
      <c r="AX35" s="653"/>
      <c r="AY35" s="654"/>
      <c r="AZ35" s="653"/>
      <c r="BA35" s="654"/>
      <c r="BB35" s="653"/>
      <c r="BC35" s="654"/>
      <c r="BD35" s="655">
        <v>0</v>
      </c>
      <c r="BE35" s="653">
        <f t="shared" si="9"/>
        <v>0</v>
      </c>
      <c r="BF35" s="654">
        <f t="shared" si="9"/>
        <v>0</v>
      </c>
      <c r="BG35" s="634"/>
    </row>
    <row r="36" spans="1:59" ht="18" customHeight="1" thickBot="1">
      <c r="A36" s="656" t="s">
        <v>3149</v>
      </c>
      <c r="B36" s="636">
        <f aca="true" t="shared" si="10" ref="B36:BF36">B11+B20+B30+B35</f>
        <v>58301</v>
      </c>
      <c r="C36" s="637">
        <f t="shared" si="10"/>
        <v>58295.069</v>
      </c>
      <c r="D36" s="636">
        <f t="shared" si="10"/>
        <v>196129</v>
      </c>
      <c r="E36" s="637">
        <f t="shared" si="10"/>
        <v>137708.764</v>
      </c>
      <c r="F36" s="636">
        <f t="shared" si="10"/>
        <v>178694</v>
      </c>
      <c r="G36" s="637">
        <f t="shared" si="10"/>
        <v>178695.027</v>
      </c>
      <c r="H36" s="636">
        <f t="shared" si="10"/>
        <v>53510</v>
      </c>
      <c r="I36" s="637">
        <f t="shared" si="10"/>
        <v>53501.286</v>
      </c>
      <c r="J36" s="636">
        <f t="shared" si="10"/>
        <v>122502</v>
      </c>
      <c r="K36" s="637">
        <f t="shared" si="10"/>
        <v>103014.447</v>
      </c>
      <c r="L36" s="636">
        <f t="shared" si="10"/>
        <v>12969</v>
      </c>
      <c r="M36" s="637">
        <f t="shared" si="10"/>
        <v>10836.532</v>
      </c>
      <c r="N36" s="636">
        <f t="shared" si="10"/>
        <v>24206</v>
      </c>
      <c r="O36" s="637">
        <f t="shared" si="10"/>
        <v>24172.406</v>
      </c>
      <c r="P36" s="636">
        <f t="shared" si="10"/>
        <v>20820</v>
      </c>
      <c r="Q36" s="637">
        <f t="shared" si="10"/>
        <v>20820</v>
      </c>
      <c r="R36" s="636">
        <f t="shared" si="10"/>
        <v>15450</v>
      </c>
      <c r="S36" s="637">
        <f t="shared" si="10"/>
        <v>15447.443</v>
      </c>
      <c r="T36" s="636">
        <f t="shared" si="10"/>
        <v>31914</v>
      </c>
      <c r="U36" s="637">
        <f t="shared" si="10"/>
        <v>31902.329</v>
      </c>
      <c r="V36" s="636">
        <f t="shared" si="10"/>
        <v>6000</v>
      </c>
      <c r="W36" s="637">
        <f t="shared" si="10"/>
        <v>6000</v>
      </c>
      <c r="X36" s="636">
        <f t="shared" si="10"/>
        <v>140541</v>
      </c>
      <c r="Y36" s="637">
        <f t="shared" si="10"/>
        <v>312332.269</v>
      </c>
      <c r="Z36" s="636">
        <f t="shared" si="10"/>
        <v>165818</v>
      </c>
      <c r="AA36" s="637">
        <f t="shared" si="10"/>
        <v>113177.13100000001</v>
      </c>
      <c r="AB36" s="636">
        <f t="shared" si="10"/>
        <v>2750</v>
      </c>
      <c r="AC36" s="637">
        <f t="shared" si="10"/>
        <v>2401.788</v>
      </c>
      <c r="AD36" s="636">
        <f t="shared" si="10"/>
        <v>32985</v>
      </c>
      <c r="AE36" s="637">
        <f t="shared" si="10"/>
        <v>34558.893</v>
      </c>
      <c r="AF36" s="636">
        <f t="shared" si="10"/>
        <v>7941</v>
      </c>
      <c r="AG36" s="637">
        <f t="shared" si="10"/>
        <v>7940.905</v>
      </c>
      <c r="AH36" s="636">
        <f t="shared" si="10"/>
        <v>43837</v>
      </c>
      <c r="AI36" s="637">
        <f t="shared" si="10"/>
        <v>65530.516</v>
      </c>
      <c r="AJ36" s="636">
        <f t="shared" si="10"/>
        <v>381092</v>
      </c>
      <c r="AK36" s="637">
        <f t="shared" si="10"/>
        <v>378762.337</v>
      </c>
      <c r="AL36" s="636">
        <f t="shared" si="10"/>
        <v>69240</v>
      </c>
      <c r="AM36" s="637">
        <f t="shared" si="10"/>
        <v>67601.354</v>
      </c>
      <c r="AN36" s="636">
        <f t="shared" si="10"/>
        <v>43184</v>
      </c>
      <c r="AO36" s="637">
        <f t="shared" si="10"/>
        <v>43183.125</v>
      </c>
      <c r="AP36" s="636">
        <f t="shared" si="10"/>
        <v>93100</v>
      </c>
      <c r="AQ36" s="637">
        <f t="shared" si="10"/>
        <v>111851.739</v>
      </c>
      <c r="AR36" s="636">
        <f t="shared" si="10"/>
        <v>66102</v>
      </c>
      <c r="AS36" s="637">
        <f t="shared" si="10"/>
        <v>65076.129</v>
      </c>
      <c r="AT36" s="636">
        <f t="shared" si="10"/>
        <v>672</v>
      </c>
      <c r="AU36" s="637">
        <f t="shared" si="10"/>
        <v>613.243</v>
      </c>
      <c r="AV36" s="636">
        <f t="shared" si="10"/>
        <v>2601</v>
      </c>
      <c r="AW36" s="637">
        <f t="shared" si="10"/>
        <v>2598.871</v>
      </c>
      <c r="AX36" s="636">
        <f t="shared" si="10"/>
        <v>753</v>
      </c>
      <c r="AY36" s="637">
        <f t="shared" si="10"/>
        <v>802.007</v>
      </c>
      <c r="AZ36" s="636">
        <f t="shared" si="10"/>
        <v>0</v>
      </c>
      <c r="BA36" s="637">
        <f t="shared" si="10"/>
        <v>0</v>
      </c>
      <c r="BB36" s="636">
        <f t="shared" si="10"/>
        <v>72425</v>
      </c>
      <c r="BC36" s="637">
        <f t="shared" si="10"/>
        <v>97100.606</v>
      </c>
      <c r="BD36" s="636">
        <f t="shared" si="10"/>
        <v>2082401</v>
      </c>
      <c r="BE36" s="636">
        <f t="shared" si="10"/>
        <v>1843536</v>
      </c>
      <c r="BF36" s="637">
        <f t="shared" si="10"/>
        <v>1943924.2159999998</v>
      </c>
      <c r="BG36" s="634"/>
    </row>
    <row r="37" spans="1:59" ht="18" customHeight="1" hidden="1" thickBot="1">
      <c r="A37" s="635" t="s">
        <v>2712</v>
      </c>
      <c r="B37" s="653"/>
      <c r="C37" s="654"/>
      <c r="D37" s="653"/>
      <c r="E37" s="654"/>
      <c r="F37" s="653"/>
      <c r="G37" s="654"/>
      <c r="H37" s="653"/>
      <c r="I37" s="654"/>
      <c r="J37" s="653"/>
      <c r="K37" s="654"/>
      <c r="L37" s="653"/>
      <c r="M37" s="654"/>
      <c r="N37" s="653"/>
      <c r="O37" s="654"/>
      <c r="P37" s="653"/>
      <c r="Q37" s="654"/>
      <c r="R37" s="653">
        <v>0</v>
      </c>
      <c r="S37" s="654"/>
      <c r="T37" s="653">
        <v>0</v>
      </c>
      <c r="U37" s="654"/>
      <c r="V37" s="653">
        <v>0</v>
      </c>
      <c r="W37" s="654"/>
      <c r="X37" s="653"/>
      <c r="Y37" s="654"/>
      <c r="Z37" s="653"/>
      <c r="AA37" s="654"/>
      <c r="AB37" s="653"/>
      <c r="AC37" s="654"/>
      <c r="AD37" s="653"/>
      <c r="AE37" s="654"/>
      <c r="AF37" s="653"/>
      <c r="AG37" s="654"/>
      <c r="AH37" s="653"/>
      <c r="AI37" s="654"/>
      <c r="AJ37" s="653"/>
      <c r="AK37" s="654"/>
      <c r="AL37" s="653"/>
      <c r="AM37" s="654"/>
      <c r="AN37" s="653"/>
      <c r="AO37" s="654"/>
      <c r="AP37" s="653"/>
      <c r="AQ37" s="654"/>
      <c r="AR37" s="653">
        <v>0</v>
      </c>
      <c r="AS37" s="654"/>
      <c r="AT37" s="653"/>
      <c r="AU37" s="654"/>
      <c r="AV37" s="653"/>
      <c r="AW37" s="654"/>
      <c r="AX37" s="653"/>
      <c r="AY37" s="654"/>
      <c r="AZ37" s="653"/>
      <c r="BA37" s="654"/>
      <c r="BB37" s="653"/>
      <c r="BC37" s="654"/>
      <c r="BD37" s="668"/>
      <c r="BE37" s="653">
        <f>B37+D37+F37+H37+J37+L37+N37+P37+R37+T37+V37+X37+Z37+AB37+AD37+AF37+AH37+AJ37+AN37+AP37+AR37+AT37+AZ37+AL37+AX37+AV37+BB37</f>
        <v>0</v>
      </c>
      <c r="BF37" s="654">
        <f>C37+E37+G37+I37+K37+M37+O37+Q37+S37+U37+W37+Y37+AA37+AC37+AE37+AG37+AI37+AK37+AO37+AQ37+AS37+AU37+BA37+AM37+AY37+AW37+BC37</f>
        <v>0</v>
      </c>
      <c r="BG37" s="634"/>
    </row>
    <row r="38" spans="1:59" ht="18" customHeight="1" thickBot="1">
      <c r="A38" s="656" t="s">
        <v>3150</v>
      </c>
      <c r="B38" s="636">
        <f aca="true" t="shared" si="11" ref="B38:BF38">B36+B37</f>
        <v>58301</v>
      </c>
      <c r="C38" s="637">
        <f t="shared" si="11"/>
        <v>58295.069</v>
      </c>
      <c r="D38" s="636">
        <f t="shared" si="11"/>
        <v>196129</v>
      </c>
      <c r="E38" s="637">
        <f t="shared" si="11"/>
        <v>137708.764</v>
      </c>
      <c r="F38" s="636">
        <f t="shared" si="11"/>
        <v>178694</v>
      </c>
      <c r="G38" s="637">
        <f t="shared" si="11"/>
        <v>178695.027</v>
      </c>
      <c r="H38" s="636">
        <f t="shared" si="11"/>
        <v>53510</v>
      </c>
      <c r="I38" s="637">
        <f t="shared" si="11"/>
        <v>53501.286</v>
      </c>
      <c r="J38" s="636">
        <f t="shared" si="11"/>
        <v>122502</v>
      </c>
      <c r="K38" s="637">
        <f t="shared" si="11"/>
        <v>103014.447</v>
      </c>
      <c r="L38" s="636">
        <f t="shared" si="11"/>
        <v>12969</v>
      </c>
      <c r="M38" s="637">
        <f t="shared" si="11"/>
        <v>10836.532</v>
      </c>
      <c r="N38" s="636">
        <f t="shared" si="11"/>
        <v>24206</v>
      </c>
      <c r="O38" s="637">
        <f t="shared" si="11"/>
        <v>24172.406</v>
      </c>
      <c r="P38" s="636">
        <f t="shared" si="11"/>
        <v>20820</v>
      </c>
      <c r="Q38" s="637">
        <f t="shared" si="11"/>
        <v>20820</v>
      </c>
      <c r="R38" s="636">
        <f t="shared" si="11"/>
        <v>15450</v>
      </c>
      <c r="S38" s="637">
        <f t="shared" si="11"/>
        <v>15447.443</v>
      </c>
      <c r="T38" s="636">
        <f t="shared" si="11"/>
        <v>31914</v>
      </c>
      <c r="U38" s="637">
        <f t="shared" si="11"/>
        <v>31902.329</v>
      </c>
      <c r="V38" s="636">
        <f t="shared" si="11"/>
        <v>6000</v>
      </c>
      <c r="W38" s="637">
        <f t="shared" si="11"/>
        <v>6000</v>
      </c>
      <c r="X38" s="636">
        <f t="shared" si="11"/>
        <v>140541</v>
      </c>
      <c r="Y38" s="637">
        <f t="shared" si="11"/>
        <v>312332.269</v>
      </c>
      <c r="Z38" s="636">
        <f t="shared" si="11"/>
        <v>165818</v>
      </c>
      <c r="AA38" s="637">
        <f t="shared" si="11"/>
        <v>113177.13100000001</v>
      </c>
      <c r="AB38" s="636">
        <f t="shared" si="11"/>
        <v>2750</v>
      </c>
      <c r="AC38" s="637">
        <f t="shared" si="11"/>
        <v>2401.788</v>
      </c>
      <c r="AD38" s="636">
        <f t="shared" si="11"/>
        <v>32985</v>
      </c>
      <c r="AE38" s="637">
        <f t="shared" si="11"/>
        <v>34558.893</v>
      </c>
      <c r="AF38" s="636">
        <f t="shared" si="11"/>
        <v>7941</v>
      </c>
      <c r="AG38" s="637">
        <f t="shared" si="11"/>
        <v>7940.905</v>
      </c>
      <c r="AH38" s="636">
        <f t="shared" si="11"/>
        <v>43837</v>
      </c>
      <c r="AI38" s="637">
        <f t="shared" si="11"/>
        <v>65530.516</v>
      </c>
      <c r="AJ38" s="636">
        <f t="shared" si="11"/>
        <v>381092</v>
      </c>
      <c r="AK38" s="637">
        <f t="shared" si="11"/>
        <v>378762.337</v>
      </c>
      <c r="AL38" s="636">
        <f t="shared" si="11"/>
        <v>69240</v>
      </c>
      <c r="AM38" s="637">
        <f t="shared" si="11"/>
        <v>67601.354</v>
      </c>
      <c r="AN38" s="636">
        <f t="shared" si="11"/>
        <v>43184</v>
      </c>
      <c r="AO38" s="637">
        <f t="shared" si="11"/>
        <v>43183.125</v>
      </c>
      <c r="AP38" s="636">
        <f t="shared" si="11"/>
        <v>93100</v>
      </c>
      <c r="AQ38" s="637">
        <f t="shared" si="11"/>
        <v>111851.739</v>
      </c>
      <c r="AR38" s="636">
        <f t="shared" si="11"/>
        <v>66102</v>
      </c>
      <c r="AS38" s="637">
        <f t="shared" si="11"/>
        <v>65076.129</v>
      </c>
      <c r="AT38" s="636">
        <f t="shared" si="11"/>
        <v>672</v>
      </c>
      <c r="AU38" s="637">
        <f t="shared" si="11"/>
        <v>613.243</v>
      </c>
      <c r="AV38" s="636">
        <f t="shared" si="11"/>
        <v>2601</v>
      </c>
      <c r="AW38" s="637">
        <f t="shared" si="11"/>
        <v>2598.871</v>
      </c>
      <c r="AX38" s="636">
        <f t="shared" si="11"/>
        <v>753</v>
      </c>
      <c r="AY38" s="637">
        <f t="shared" si="11"/>
        <v>802.007</v>
      </c>
      <c r="AZ38" s="636">
        <f t="shared" si="11"/>
        <v>0</v>
      </c>
      <c r="BA38" s="637">
        <f t="shared" si="11"/>
        <v>0</v>
      </c>
      <c r="BB38" s="636">
        <f t="shared" si="11"/>
        <v>72425</v>
      </c>
      <c r="BC38" s="637">
        <f t="shared" si="11"/>
        <v>97100.606</v>
      </c>
      <c r="BD38" s="636">
        <f t="shared" si="11"/>
        <v>2082401</v>
      </c>
      <c r="BE38" s="636">
        <f t="shared" si="11"/>
        <v>1843536</v>
      </c>
      <c r="BF38" s="637">
        <f t="shared" si="11"/>
        <v>1943924.2159999998</v>
      </c>
      <c r="BG38" s="634"/>
    </row>
    <row r="39" spans="1:58" ht="12.75">
      <c r="A39" s="669"/>
      <c r="B39" s="669"/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  <c r="Q39" s="669"/>
      <c r="R39" s="669"/>
      <c r="S39" s="669"/>
      <c r="T39" s="669"/>
      <c r="U39" s="669"/>
      <c r="V39" s="669"/>
      <c r="W39" s="669"/>
      <c r="X39" s="669"/>
      <c r="Y39" s="669"/>
      <c r="Z39" s="669"/>
      <c r="AA39" s="669"/>
      <c r="AB39" s="669"/>
      <c r="AC39" s="669"/>
      <c r="AD39" s="669"/>
      <c r="AE39" s="669"/>
      <c r="AF39" s="669"/>
      <c r="AG39" s="669"/>
      <c r="AH39" s="669"/>
      <c r="AI39" s="669"/>
      <c r="AJ39" s="669"/>
      <c r="AK39" s="669"/>
      <c r="AL39" s="669"/>
      <c r="AM39" s="669"/>
      <c r="AN39" s="669"/>
      <c r="AO39" s="669"/>
      <c r="AP39" s="669"/>
      <c r="AQ39" s="669"/>
      <c r="AR39" s="670"/>
      <c r="AS39" s="669"/>
      <c r="AT39" s="669"/>
      <c r="AU39" s="669"/>
      <c r="AV39" s="669"/>
      <c r="AW39" s="669"/>
      <c r="AX39" s="669"/>
      <c r="AY39" s="669"/>
      <c r="AZ39" s="669"/>
      <c r="BA39" s="669"/>
      <c r="BB39" s="669"/>
      <c r="BC39" s="669"/>
      <c r="BD39" s="669"/>
      <c r="BE39" s="669"/>
      <c r="BF39" s="669"/>
    </row>
    <row r="40" spans="1:58" ht="12.75">
      <c r="A40" s="669"/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669"/>
      <c r="AK40" s="669"/>
      <c r="AL40" s="669"/>
      <c r="AM40" s="669"/>
      <c r="AN40" s="669"/>
      <c r="AO40" s="669"/>
      <c r="AP40" s="669"/>
      <c r="AQ40" s="669"/>
      <c r="AR40" s="669"/>
      <c r="AS40" s="669"/>
      <c r="AT40" s="669"/>
      <c r="AU40" s="669"/>
      <c r="AV40" s="669"/>
      <c r="AW40" s="669"/>
      <c r="AX40" s="669"/>
      <c r="AY40" s="669"/>
      <c r="AZ40" s="669"/>
      <c r="BA40" s="669"/>
      <c r="BB40" s="669"/>
      <c r="BC40" s="669"/>
      <c r="BD40" s="669"/>
      <c r="BE40" s="669"/>
      <c r="BF40" s="669"/>
    </row>
    <row r="41" spans="1:58" ht="12.75">
      <c r="A41" s="669"/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69"/>
      <c r="W41" s="669"/>
      <c r="X41" s="669"/>
      <c r="Y41" s="669"/>
      <c r="Z41" s="669"/>
      <c r="AA41" s="669"/>
      <c r="AB41" s="669"/>
      <c r="AC41" s="669"/>
      <c r="AD41" s="669"/>
      <c r="AE41" s="669"/>
      <c r="AF41" s="669"/>
      <c r="AG41" s="669"/>
      <c r="AH41" s="669"/>
      <c r="AI41" s="669"/>
      <c r="AJ41" s="669"/>
      <c r="AK41" s="669"/>
      <c r="AL41" s="669"/>
      <c r="AM41" s="669"/>
      <c r="AN41" s="669"/>
      <c r="AO41" s="669"/>
      <c r="AP41" s="669"/>
      <c r="AQ41" s="669"/>
      <c r="AR41" s="669"/>
      <c r="AS41" s="669"/>
      <c r="AT41" s="669"/>
      <c r="AU41" s="669"/>
      <c r="AV41" s="669"/>
      <c r="AW41" s="669"/>
      <c r="AX41" s="669"/>
      <c r="AY41" s="669"/>
      <c r="AZ41" s="669"/>
      <c r="BA41" s="669"/>
      <c r="BB41" s="669"/>
      <c r="BC41" s="669"/>
      <c r="BD41" s="669"/>
      <c r="BE41" s="669"/>
      <c r="BF41" s="669"/>
    </row>
    <row r="42" spans="2:58" ht="13.5"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69"/>
      <c r="AA42" s="669"/>
      <c r="AB42" s="669"/>
      <c r="AC42" s="669"/>
      <c r="AD42" s="669"/>
      <c r="AE42" s="669"/>
      <c r="AF42" s="669"/>
      <c r="AG42" s="669"/>
      <c r="AH42" s="669"/>
      <c r="AI42" s="669"/>
      <c r="AJ42" s="669"/>
      <c r="AK42" s="669"/>
      <c r="AL42" s="669"/>
      <c r="AM42" s="669"/>
      <c r="AN42" s="669"/>
      <c r="AO42" s="669"/>
      <c r="AP42" s="1370" t="s">
        <v>3613</v>
      </c>
      <c r="AQ42" s="669"/>
      <c r="AR42" s="669"/>
      <c r="AS42" s="669"/>
      <c r="AT42" s="669"/>
      <c r="AU42" s="669"/>
      <c r="AV42" s="669"/>
      <c r="AW42" s="669"/>
      <c r="AX42" s="669"/>
      <c r="AY42" s="669" t="s">
        <v>3750</v>
      </c>
      <c r="AZ42" s="1370" t="s">
        <v>3616</v>
      </c>
      <c r="BA42" s="669"/>
      <c r="BB42" s="669"/>
      <c r="BC42" s="669"/>
      <c r="BD42" s="669"/>
      <c r="BE42" s="1838" t="s">
        <v>3510</v>
      </c>
      <c r="BF42" s="1838"/>
    </row>
    <row r="43" spans="1:58" ht="12.75">
      <c r="A43" s="669"/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  <c r="Y43" s="669"/>
      <c r="Z43" s="669"/>
      <c r="AA43" s="669"/>
      <c r="AB43" s="669"/>
      <c r="AC43" s="669"/>
      <c r="AD43" s="669"/>
      <c r="AE43" s="669"/>
      <c r="AF43" s="669"/>
      <c r="AG43" s="669"/>
      <c r="AH43" s="669"/>
      <c r="AI43" s="669"/>
      <c r="AJ43" s="669"/>
      <c r="AK43" s="669"/>
      <c r="AL43" s="669"/>
      <c r="AM43" s="669"/>
      <c r="AN43" s="669"/>
      <c r="AO43" s="669"/>
      <c r="AP43" s="669"/>
      <c r="AQ43" s="669"/>
      <c r="AR43" s="669"/>
      <c r="AS43" s="669"/>
      <c r="AT43" s="669"/>
      <c r="AU43" s="669"/>
      <c r="AV43" s="669"/>
      <c r="AW43" s="669"/>
      <c r="AX43" s="669"/>
      <c r="AY43" s="669"/>
      <c r="AZ43" s="669"/>
      <c r="BA43" s="669"/>
      <c r="BB43" s="669"/>
      <c r="BC43" s="669"/>
      <c r="BD43" s="669"/>
      <c r="BE43" s="669"/>
      <c r="BF43" s="669"/>
    </row>
  </sheetData>
  <mergeCells count="4">
    <mergeCell ref="BE42:BF42"/>
    <mergeCell ref="F2:G2"/>
    <mergeCell ref="AN2:AO2"/>
    <mergeCell ref="L2:M2"/>
  </mergeCells>
  <printOptions horizontalCentered="1"/>
  <pageMargins left="0.7874015748031497" right="0.7874015748031497" top="1.3779527559055118" bottom="0.984251968503937" header="0.9055118110236221" footer="0.5118110236220472"/>
  <pageSetup fitToHeight="3" horizontalDpi="600" verticalDpi="600" orientation="landscape" paperSize="9" scale="57" r:id="rId1"/>
  <headerFooter alignWithMargins="0">
    <oddHeader xml:space="preserve">&amp;L&amp;12Kapitola: 314 - Ministerstvo vnitra
&amp;C&amp;"Arial CE,tučné"&amp;14
Přehled čerpání ostatních běžných výdajů (vybrané běžné výdaje) - adresné platby v roce 2004 (bez převodu do RF) - detail dle jednotlivých OSS a OSS MV&amp;R&amp;12Tabulka č. 12/1
List: &amp;P/&amp;N </oddHeader>
    <oddFooter>&amp;C&amp;12 &amp;P+81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4">
      <selection activeCell="D16" sqref="D16"/>
    </sheetView>
  </sheetViews>
  <sheetFormatPr defaultColWidth="9.00390625" defaultRowHeight="12.75"/>
  <cols>
    <col min="1" max="1" width="34.125" style="692" customWidth="1"/>
    <col min="2" max="2" width="4.125" style="221" hidden="1" customWidth="1"/>
    <col min="3" max="4" width="17.875" style="221" bestFit="1" customWidth="1"/>
    <col min="5" max="5" width="16.375" style="221" customWidth="1"/>
    <col min="6" max="6" width="17.875" style="221" bestFit="1" customWidth="1"/>
    <col min="7" max="7" width="18.00390625" style="221" bestFit="1" customWidth="1"/>
    <col min="8" max="8" width="14.875" style="221" bestFit="1" customWidth="1"/>
    <col min="9" max="9" width="18.625" style="221" customWidth="1"/>
    <col min="10" max="11" width="15.50390625" style="221" customWidth="1"/>
    <col min="12" max="12" width="15.50390625" style="221" bestFit="1" customWidth="1"/>
    <col min="13" max="13" width="15.50390625" style="221" customWidth="1"/>
    <col min="14" max="14" width="17.50390625" style="221" bestFit="1" customWidth="1"/>
    <col min="15" max="15" width="16.375" style="221" bestFit="1" customWidth="1"/>
    <col min="16" max="16384" width="8.875" style="588" customWidth="1"/>
  </cols>
  <sheetData>
    <row r="1" spans="1:5" ht="15">
      <c r="A1" s="671"/>
      <c r="B1" s="193"/>
      <c r="C1" s="193"/>
      <c r="D1" s="193"/>
      <c r="E1" s="193"/>
    </row>
    <row r="2" spans="1:15" ht="15">
      <c r="A2" s="1372" t="s">
        <v>3617</v>
      </c>
      <c r="B2" s="1371"/>
      <c r="C2" s="1371"/>
      <c r="D2" s="585"/>
      <c r="E2" s="585"/>
      <c r="O2" s="1075" t="s">
        <v>3618</v>
      </c>
    </row>
    <row r="3" spans="1:15" ht="17.25">
      <c r="A3" s="1876" t="s">
        <v>3151</v>
      </c>
      <c r="B3" s="1876"/>
      <c r="C3" s="1876"/>
      <c r="D3" s="1876"/>
      <c r="E3" s="1876"/>
      <c r="F3" s="1876"/>
      <c r="G3" s="1876"/>
      <c r="H3" s="1876"/>
      <c r="I3" s="1876"/>
      <c r="J3" s="1876"/>
      <c r="K3" s="1876"/>
      <c r="L3" s="1876"/>
      <c r="M3" s="1876"/>
      <c r="N3" s="1876"/>
      <c r="O3" s="1876"/>
    </row>
    <row r="4" spans="1:15" ht="15.75" thickBot="1">
      <c r="A4" s="588"/>
      <c r="B4" s="616"/>
      <c r="C4" s="616"/>
      <c r="D4" s="616"/>
      <c r="E4" s="616"/>
      <c r="O4" s="1075" t="s">
        <v>2575</v>
      </c>
    </row>
    <row r="5" spans="1:15" ht="54.75" customHeight="1" thickBot="1">
      <c r="A5" s="1878" t="s">
        <v>3152</v>
      </c>
      <c r="B5" s="1880" t="s">
        <v>3153</v>
      </c>
      <c r="C5" s="1850" t="s">
        <v>3154</v>
      </c>
      <c r="D5" s="1850" t="s">
        <v>3155</v>
      </c>
      <c r="E5" s="1850" t="s">
        <v>2742</v>
      </c>
      <c r="F5" s="1848" t="s">
        <v>3619</v>
      </c>
      <c r="G5" s="1850" t="s">
        <v>3157</v>
      </c>
      <c r="H5" s="1848" t="s">
        <v>2744</v>
      </c>
      <c r="I5" s="1850" t="s">
        <v>3158</v>
      </c>
      <c r="J5" s="1848" t="s">
        <v>2746</v>
      </c>
      <c r="K5" s="1871"/>
      <c r="L5" s="1847" t="s">
        <v>2747</v>
      </c>
      <c r="M5" s="1848"/>
      <c r="N5" s="1850" t="s">
        <v>3345</v>
      </c>
      <c r="O5" s="1871" t="s">
        <v>3611</v>
      </c>
    </row>
    <row r="6" spans="1:15" ht="81" customHeight="1" thickBot="1">
      <c r="A6" s="1879"/>
      <c r="B6" s="1881"/>
      <c r="C6" s="1851"/>
      <c r="D6" s="1851"/>
      <c r="E6" s="1851"/>
      <c r="F6" s="1849"/>
      <c r="G6" s="1851"/>
      <c r="H6" s="1849"/>
      <c r="I6" s="1851"/>
      <c r="J6" s="672" t="s">
        <v>2749</v>
      </c>
      <c r="K6" s="673" t="s">
        <v>2750</v>
      </c>
      <c r="L6" s="591" t="s">
        <v>2751</v>
      </c>
      <c r="M6" s="590" t="s">
        <v>3159</v>
      </c>
      <c r="N6" s="1851"/>
      <c r="O6" s="1872"/>
    </row>
    <row r="7" spans="1:15" ht="20.25" customHeight="1">
      <c r="A7" s="674"/>
      <c r="B7" s="675"/>
      <c r="C7" s="676">
        <v>1</v>
      </c>
      <c r="D7" s="675">
        <v>2</v>
      </c>
      <c r="E7" s="676">
        <v>3</v>
      </c>
      <c r="F7" s="675">
        <v>4</v>
      </c>
      <c r="G7" s="676">
        <v>5</v>
      </c>
      <c r="H7" s="675">
        <v>6</v>
      </c>
      <c r="I7" s="676">
        <v>7</v>
      </c>
      <c r="J7" s="675">
        <v>8</v>
      </c>
      <c r="K7" s="676">
        <v>9</v>
      </c>
      <c r="L7" s="1374">
        <v>10</v>
      </c>
      <c r="M7" s="675">
        <v>11</v>
      </c>
      <c r="N7" s="676">
        <v>12</v>
      </c>
      <c r="O7" s="677">
        <v>13</v>
      </c>
    </row>
    <row r="8" spans="1:15" ht="19.5" customHeight="1">
      <c r="A8" s="678" t="s">
        <v>3160</v>
      </c>
      <c r="B8" s="240"/>
      <c r="C8" s="679">
        <v>24765</v>
      </c>
      <c r="D8" s="680">
        <v>23018</v>
      </c>
      <c r="E8" s="679">
        <v>400</v>
      </c>
      <c r="F8" s="680">
        <f aca="true" t="shared" si="0" ref="F8:F15">+D8+E8</f>
        <v>23418</v>
      </c>
      <c r="G8" s="679">
        <v>23415.78</v>
      </c>
      <c r="H8" s="680">
        <v>0.105</v>
      </c>
      <c r="I8" s="679">
        <f aca="true" t="shared" si="1" ref="I8:I15">+G8+H8</f>
        <v>23415.885</v>
      </c>
      <c r="J8" s="680">
        <f>+G8-D8</f>
        <v>397.77999999999884</v>
      </c>
      <c r="K8" s="679">
        <f>+I8-D8</f>
        <v>397.8849999999984</v>
      </c>
      <c r="L8" s="679">
        <f>+G8-F8</f>
        <v>-2.220000000001164</v>
      </c>
      <c r="M8" s="1373">
        <f>+I8-F8</f>
        <v>-2.1150000000016007</v>
      </c>
      <c r="N8" s="679">
        <v>22262.06</v>
      </c>
      <c r="O8" s="681">
        <f>+G8/N8</f>
        <v>1.0518244942291952</v>
      </c>
    </row>
    <row r="9" spans="1:15" ht="19.5" customHeight="1">
      <c r="A9" s="682" t="s">
        <v>3161</v>
      </c>
      <c r="B9" s="243"/>
      <c r="C9" s="683">
        <v>18355</v>
      </c>
      <c r="D9" s="684">
        <v>15136</v>
      </c>
      <c r="E9" s="683">
        <v>613.109</v>
      </c>
      <c r="F9" s="684">
        <f t="shared" si="0"/>
        <v>15749.109</v>
      </c>
      <c r="G9" s="683">
        <v>15701.6</v>
      </c>
      <c r="H9" s="684">
        <v>46.414</v>
      </c>
      <c r="I9" s="683">
        <f t="shared" si="1"/>
        <v>15748.014000000001</v>
      </c>
      <c r="J9" s="684">
        <f aca="true" t="shared" si="2" ref="J9:J15">+G9-D9</f>
        <v>565.6000000000004</v>
      </c>
      <c r="K9" s="683">
        <f aca="true" t="shared" si="3" ref="K9:K15">+I9-D9</f>
        <v>612.014000000001</v>
      </c>
      <c r="L9" s="683">
        <f aca="true" t="shared" si="4" ref="L9:L15">+G9-F9</f>
        <v>-47.509000000000015</v>
      </c>
      <c r="M9" s="684">
        <f aca="true" t="shared" si="5" ref="M9:M15">+I9-F9</f>
        <v>-1.0949999999993452</v>
      </c>
      <c r="N9" s="683">
        <v>14329.02</v>
      </c>
      <c r="O9" s="681">
        <f aca="true" t="shared" si="6" ref="O9:O16">+G9/N9</f>
        <v>1.0957902215224768</v>
      </c>
    </row>
    <row r="10" spans="1:15" ht="19.5" customHeight="1">
      <c r="A10" s="685" t="s">
        <v>3162</v>
      </c>
      <c r="B10" s="243"/>
      <c r="C10" s="683">
        <v>364577</v>
      </c>
      <c r="D10" s="684">
        <v>338711</v>
      </c>
      <c r="E10" s="683">
        <v>1034.196</v>
      </c>
      <c r="F10" s="684">
        <f t="shared" si="0"/>
        <v>339745.196</v>
      </c>
      <c r="G10" s="683">
        <v>336257.83</v>
      </c>
      <c r="H10" s="684">
        <v>3411.008</v>
      </c>
      <c r="I10" s="683">
        <f t="shared" si="1"/>
        <v>339668.838</v>
      </c>
      <c r="J10" s="684">
        <f t="shared" si="2"/>
        <v>-2453.1699999999837</v>
      </c>
      <c r="K10" s="683">
        <f t="shared" si="3"/>
        <v>957.8379999999888</v>
      </c>
      <c r="L10" s="683">
        <f t="shared" si="4"/>
        <v>-3487.36599999998</v>
      </c>
      <c r="M10" s="684">
        <f t="shared" si="5"/>
        <v>-76.35800000000745</v>
      </c>
      <c r="N10" s="683">
        <v>325229.82</v>
      </c>
      <c r="O10" s="681">
        <f t="shared" si="6"/>
        <v>1.0339083605556219</v>
      </c>
    </row>
    <row r="11" spans="1:15" ht="19.5" customHeight="1">
      <c r="A11" s="685" t="s">
        <v>3163</v>
      </c>
      <c r="B11" s="243"/>
      <c r="C11" s="683">
        <v>96756</v>
      </c>
      <c r="D11" s="684">
        <v>80482</v>
      </c>
      <c r="E11" s="683">
        <v>144.78</v>
      </c>
      <c r="F11" s="684">
        <f t="shared" si="0"/>
        <v>80626.78</v>
      </c>
      <c r="G11" s="683">
        <v>80495.17</v>
      </c>
      <c r="H11" s="684">
        <v>121.367</v>
      </c>
      <c r="I11" s="683">
        <f t="shared" si="1"/>
        <v>80616.537</v>
      </c>
      <c r="J11" s="684">
        <f t="shared" si="2"/>
        <v>13.169999999998254</v>
      </c>
      <c r="K11" s="683">
        <f t="shared" si="3"/>
        <v>134.53699999999662</v>
      </c>
      <c r="L11" s="683">
        <f t="shared" si="4"/>
        <v>-131.61000000000058</v>
      </c>
      <c r="M11" s="684">
        <f t="shared" si="5"/>
        <v>-10.243000000002212</v>
      </c>
      <c r="N11" s="683">
        <v>80640.46</v>
      </c>
      <c r="O11" s="681">
        <f t="shared" si="6"/>
        <v>0.9981982989680366</v>
      </c>
    </row>
    <row r="12" spans="1:15" ht="19.5" customHeight="1">
      <c r="A12" s="685" t="s">
        <v>3164</v>
      </c>
      <c r="B12" s="243"/>
      <c r="C12" s="683">
        <v>227183</v>
      </c>
      <c r="D12" s="684">
        <v>201975</v>
      </c>
      <c r="E12" s="683">
        <v>177.856</v>
      </c>
      <c r="F12" s="684">
        <f t="shared" si="0"/>
        <v>202152.856</v>
      </c>
      <c r="G12" s="683">
        <v>202102.17</v>
      </c>
      <c r="H12" s="684">
        <v>94.697</v>
      </c>
      <c r="I12" s="683">
        <f t="shared" si="1"/>
        <v>202196.867</v>
      </c>
      <c r="J12" s="684">
        <f t="shared" si="2"/>
        <v>127.1700000000128</v>
      </c>
      <c r="K12" s="683">
        <f t="shared" si="3"/>
        <v>221.86699999999837</v>
      </c>
      <c r="L12" s="683">
        <f t="shared" si="4"/>
        <v>-50.68599999998696</v>
      </c>
      <c r="M12" s="684">
        <f t="shared" si="5"/>
        <v>44.0109999999986</v>
      </c>
      <c r="N12" s="683">
        <v>197786.06</v>
      </c>
      <c r="O12" s="681">
        <f t="shared" si="6"/>
        <v>1.021822114258204</v>
      </c>
    </row>
    <row r="13" spans="1:15" ht="19.5" customHeight="1">
      <c r="A13" s="685" t="s">
        <v>3165</v>
      </c>
      <c r="B13" s="243"/>
      <c r="C13" s="683">
        <v>255907</v>
      </c>
      <c r="D13" s="684">
        <v>218119</v>
      </c>
      <c r="E13" s="683">
        <v>1044.7</v>
      </c>
      <c r="F13" s="684">
        <f t="shared" si="0"/>
        <v>219163.7</v>
      </c>
      <c r="G13" s="683">
        <v>216951.76</v>
      </c>
      <c r="H13" s="684">
        <v>2202.589</v>
      </c>
      <c r="I13" s="683">
        <f t="shared" si="1"/>
        <v>219154.34900000002</v>
      </c>
      <c r="J13" s="684">
        <f t="shared" si="2"/>
        <v>-1167.2399999999907</v>
      </c>
      <c r="K13" s="683">
        <f t="shared" si="3"/>
        <v>1035.3490000000165</v>
      </c>
      <c r="L13" s="683">
        <f t="shared" si="4"/>
        <v>-2211.9400000000023</v>
      </c>
      <c r="M13" s="684">
        <f t="shared" si="5"/>
        <v>-9.35099999999511</v>
      </c>
      <c r="N13" s="683">
        <v>218288.66</v>
      </c>
      <c r="O13" s="681">
        <f t="shared" si="6"/>
        <v>0.9938755407633177</v>
      </c>
    </row>
    <row r="14" spans="1:15" ht="19.5" customHeight="1">
      <c r="A14" s="682" t="s">
        <v>3166</v>
      </c>
      <c r="B14" s="243"/>
      <c r="C14" s="683">
        <v>334361</v>
      </c>
      <c r="D14" s="684">
        <v>259670</v>
      </c>
      <c r="E14" s="683">
        <v>32067.397</v>
      </c>
      <c r="F14" s="684">
        <f t="shared" si="0"/>
        <v>291737.397</v>
      </c>
      <c r="G14" s="683">
        <v>261962.31</v>
      </c>
      <c r="H14" s="684">
        <v>2528.479</v>
      </c>
      <c r="I14" s="683">
        <f t="shared" si="1"/>
        <v>264490.789</v>
      </c>
      <c r="J14" s="684">
        <f t="shared" si="2"/>
        <v>2292.3099999999977</v>
      </c>
      <c r="K14" s="683">
        <f t="shared" si="3"/>
        <v>4820.78899999999</v>
      </c>
      <c r="L14" s="683">
        <f t="shared" si="4"/>
        <v>-29775.087</v>
      </c>
      <c r="M14" s="684">
        <f t="shared" si="5"/>
        <v>-27246.608000000007</v>
      </c>
      <c r="N14" s="683">
        <v>261807.37</v>
      </c>
      <c r="O14" s="681">
        <f t="shared" si="6"/>
        <v>1.0005918091610637</v>
      </c>
    </row>
    <row r="15" spans="1:15" ht="19.5" customHeight="1" thickBot="1">
      <c r="A15" s="686" t="s">
        <v>3167</v>
      </c>
      <c r="B15" s="251"/>
      <c r="C15" s="687">
        <v>331222</v>
      </c>
      <c r="D15" s="688">
        <v>496623</v>
      </c>
      <c r="E15" s="687">
        <v>30664.239</v>
      </c>
      <c r="F15" s="688">
        <f t="shared" si="0"/>
        <v>527287.2390000001</v>
      </c>
      <c r="G15" s="687">
        <v>495558.49</v>
      </c>
      <c r="H15" s="688">
        <v>13382.385</v>
      </c>
      <c r="I15" s="687">
        <f t="shared" si="1"/>
        <v>508940.875</v>
      </c>
      <c r="J15" s="688">
        <f t="shared" si="2"/>
        <v>-1064.5100000000093</v>
      </c>
      <c r="K15" s="687">
        <f t="shared" si="3"/>
        <v>12317.875</v>
      </c>
      <c r="L15" s="1375">
        <f t="shared" si="4"/>
        <v>-31728.74900000007</v>
      </c>
      <c r="M15" s="688">
        <f t="shared" si="5"/>
        <v>-18346.36400000006</v>
      </c>
      <c r="N15" s="687">
        <v>632100.09</v>
      </c>
      <c r="O15" s="681">
        <f t="shared" si="6"/>
        <v>0.7839873745311443</v>
      </c>
    </row>
    <row r="16" spans="1:15" ht="19.5" customHeight="1" thickBot="1">
      <c r="A16" s="689" t="s">
        <v>2784</v>
      </c>
      <c r="B16" s="690"/>
      <c r="C16" s="613">
        <f>SUM(C8:C15)</f>
        <v>1653126</v>
      </c>
      <c r="D16" s="613">
        <f aca="true" t="shared" si="7" ref="D16:N16">SUM(D8:D15)</f>
        <v>1633734</v>
      </c>
      <c r="E16" s="613">
        <f t="shared" si="7"/>
        <v>66146.277</v>
      </c>
      <c r="F16" s="613">
        <f t="shared" si="7"/>
        <v>1699880.2770000002</v>
      </c>
      <c r="G16" s="613">
        <f t="shared" si="7"/>
        <v>1632445.11</v>
      </c>
      <c r="H16" s="613">
        <f t="shared" si="7"/>
        <v>21787.044</v>
      </c>
      <c r="I16" s="613">
        <f t="shared" si="7"/>
        <v>1654232.154</v>
      </c>
      <c r="J16" s="613">
        <f t="shared" si="7"/>
        <v>-1288.8899999999758</v>
      </c>
      <c r="K16" s="613">
        <f t="shared" si="7"/>
        <v>20498.153999999988</v>
      </c>
      <c r="L16" s="613">
        <f t="shared" si="7"/>
        <v>-67435.16700000004</v>
      </c>
      <c r="M16" s="613">
        <f t="shared" si="7"/>
        <v>-45648.12300000007</v>
      </c>
      <c r="N16" s="613">
        <f t="shared" si="7"/>
        <v>1752443.54</v>
      </c>
      <c r="O16" s="1376">
        <f t="shared" si="6"/>
        <v>0.9315250806881916</v>
      </c>
    </row>
    <row r="17" ht="15">
      <c r="A17" s="588"/>
    </row>
    <row r="18" ht="15">
      <c r="A18" s="588"/>
    </row>
    <row r="19" ht="15">
      <c r="A19" s="617"/>
    </row>
    <row r="20" spans="1:15" ht="18" customHeight="1">
      <c r="A20" s="221" t="s">
        <v>3620</v>
      </c>
      <c r="K20" s="221" t="s">
        <v>3750</v>
      </c>
      <c r="L20" s="588"/>
      <c r="N20" s="1877" t="s">
        <v>3510</v>
      </c>
      <c r="O20" s="1877"/>
    </row>
    <row r="21" ht="15">
      <c r="A21" s="617"/>
    </row>
    <row r="22" ht="15">
      <c r="A22" s="221"/>
    </row>
    <row r="23" ht="15">
      <c r="A23" s="616"/>
    </row>
    <row r="24" ht="15">
      <c r="A24" s="221"/>
    </row>
    <row r="25" ht="15">
      <c r="A25" s="616"/>
    </row>
    <row r="26" ht="15">
      <c r="A26" s="588"/>
    </row>
    <row r="27" spans="1:15" ht="12.75" customHeight="1">
      <c r="A27" s="588"/>
      <c r="O27" s="691"/>
    </row>
    <row r="28" ht="27" customHeight="1">
      <c r="O28" s="691"/>
    </row>
    <row r="29" ht="13.5" customHeight="1">
      <c r="O29" s="691"/>
    </row>
    <row r="30" ht="15">
      <c r="O30" s="691"/>
    </row>
    <row r="31" ht="15">
      <c r="O31" s="691"/>
    </row>
    <row r="32" ht="15">
      <c r="O32" s="691"/>
    </row>
    <row r="33" ht="15">
      <c r="O33" s="691"/>
    </row>
    <row r="34" ht="15">
      <c r="O34" s="691"/>
    </row>
    <row r="35" ht="15">
      <c r="O35" s="691"/>
    </row>
    <row r="36" ht="15">
      <c r="O36" s="691"/>
    </row>
  </sheetData>
  <mergeCells count="15">
    <mergeCell ref="H5:H6"/>
    <mergeCell ref="A5:A6"/>
    <mergeCell ref="B5:B6"/>
    <mergeCell ref="C5:C6"/>
    <mergeCell ref="D5:D6"/>
    <mergeCell ref="A3:O3"/>
    <mergeCell ref="N20:O20"/>
    <mergeCell ref="O5:O6"/>
    <mergeCell ref="I5:I6"/>
    <mergeCell ref="J5:K5"/>
    <mergeCell ref="L5:M5"/>
    <mergeCell ref="N5:N6"/>
    <mergeCell ref="E5:E6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Footer>&amp;C&amp;12&amp;P+84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71"/>
  <sheetViews>
    <sheetView workbookViewId="0" topLeftCell="X56">
      <selection activeCell="L25" sqref="L25"/>
    </sheetView>
  </sheetViews>
  <sheetFormatPr defaultColWidth="9.00390625" defaultRowHeight="12.75"/>
  <cols>
    <col min="1" max="1" width="37.50390625" style="693" customWidth="1"/>
    <col min="2" max="9" width="12.625" style="693" customWidth="1"/>
    <col min="10" max="10" width="13.625" style="693" customWidth="1"/>
    <col min="11" max="15" width="12.625" style="693" customWidth="1"/>
    <col min="16" max="16" width="14.00390625" style="693" customWidth="1"/>
    <col min="17" max="17" width="40.125" style="693" customWidth="1"/>
    <col min="18" max="19" width="12.625" style="693" customWidth="1"/>
    <col min="20" max="20" width="14.125" style="693" customWidth="1"/>
    <col min="21" max="22" width="12.625" style="693" customWidth="1"/>
    <col min="23" max="23" width="13.875" style="693" customWidth="1"/>
    <col min="24" max="25" width="12.625" style="693" customWidth="1"/>
    <col min="26" max="26" width="14.50390625" style="693" customWidth="1"/>
    <col min="27" max="28" width="12.625" style="693" customWidth="1"/>
    <col min="29" max="29" width="17.50390625" style="693" customWidth="1"/>
    <col min="30" max="30" width="15.375" style="693" customWidth="1"/>
    <col min="31" max="16384" width="9.125" style="693" customWidth="1"/>
  </cols>
  <sheetData>
    <row r="1" spans="1:30" ht="17.25">
      <c r="A1" s="1341" t="s">
        <v>3513</v>
      </c>
      <c r="P1" s="1342" t="s">
        <v>3622</v>
      </c>
      <c r="Q1" s="1341" t="s">
        <v>3513</v>
      </c>
      <c r="AC1" s="1858" t="s">
        <v>3622</v>
      </c>
      <c r="AD1" s="1858"/>
    </row>
    <row r="2" spans="1:30" ht="17.25">
      <c r="A2" s="1341"/>
      <c r="P2" s="1342" t="s">
        <v>3747</v>
      </c>
      <c r="Q2" s="1341"/>
      <c r="AC2" s="1342"/>
      <c r="AD2" s="1342" t="s">
        <v>3748</v>
      </c>
    </row>
    <row r="3" spans="1:30" ht="17.25">
      <c r="A3" s="1341"/>
      <c r="P3" s="1342"/>
      <c r="Q3" s="1341"/>
      <c r="AC3" s="1342"/>
      <c r="AD3" s="1342"/>
    </row>
    <row r="4" spans="1:33" ht="39.75" customHeight="1">
      <c r="A4" s="1887" t="s">
        <v>3621</v>
      </c>
      <c r="B4" s="1887"/>
      <c r="C4" s="1887"/>
      <c r="D4" s="1887"/>
      <c r="E4" s="1887"/>
      <c r="F4" s="1887"/>
      <c r="G4" s="1887"/>
      <c r="H4" s="1887"/>
      <c r="I4" s="1887"/>
      <c r="J4" s="1887"/>
      <c r="K4" s="1887"/>
      <c r="L4" s="1887"/>
      <c r="M4" s="1887"/>
      <c r="N4" s="1887"/>
      <c r="O4" s="1887"/>
      <c r="P4" s="1887"/>
      <c r="Q4" s="1886" t="s">
        <v>3621</v>
      </c>
      <c r="R4" s="1886"/>
      <c r="S4" s="1886"/>
      <c r="T4" s="1886"/>
      <c r="U4" s="1886"/>
      <c r="V4" s="1886"/>
      <c r="W4" s="1886"/>
      <c r="X4" s="1886"/>
      <c r="Y4" s="1886"/>
      <c r="Z4" s="1886"/>
      <c r="AA4" s="1886"/>
      <c r="AB4" s="1886"/>
      <c r="AC4" s="1886"/>
      <c r="AD4" s="1886"/>
      <c r="AE4" s="1737"/>
      <c r="AF4" s="1737"/>
      <c r="AG4" s="1737"/>
    </row>
    <row r="5" ht="22.5" customHeight="1" thickBot="1">
      <c r="AD5" s="1342" t="s">
        <v>2575</v>
      </c>
    </row>
    <row r="6" spans="1:30" ht="24.75" customHeight="1" thickBot="1" thickTop="1">
      <c r="A6" s="1688"/>
      <c r="B6" s="1689" t="s">
        <v>3168</v>
      </c>
      <c r="C6" s="1690"/>
      <c r="D6" s="1691"/>
      <c r="E6" s="1689" t="s">
        <v>3169</v>
      </c>
      <c r="F6" s="1690"/>
      <c r="G6" s="1691"/>
      <c r="H6" s="1689" t="s">
        <v>3170</v>
      </c>
      <c r="I6" s="1690"/>
      <c r="J6" s="1691"/>
      <c r="K6" s="1689" t="s">
        <v>3171</v>
      </c>
      <c r="L6" s="1690"/>
      <c r="M6" s="1691"/>
      <c r="N6" s="1689" t="s">
        <v>3172</v>
      </c>
      <c r="O6" s="1690"/>
      <c r="P6" s="1691"/>
      <c r="Q6" s="1688"/>
      <c r="R6" s="1689" t="s">
        <v>3173</v>
      </c>
      <c r="S6" s="1690"/>
      <c r="T6" s="1691"/>
      <c r="U6" s="1689" t="s">
        <v>3174</v>
      </c>
      <c r="V6" s="1690"/>
      <c r="W6" s="1691"/>
      <c r="X6" s="1689" t="s">
        <v>3175</v>
      </c>
      <c r="Y6" s="1690"/>
      <c r="Z6" s="1691"/>
      <c r="AA6" s="1692" t="s">
        <v>3176</v>
      </c>
      <c r="AB6" s="1693"/>
      <c r="AC6" s="1694" t="s">
        <v>2722</v>
      </c>
      <c r="AD6" s="1694" t="s">
        <v>3177</v>
      </c>
    </row>
    <row r="7" spans="1:30" ht="24.75" customHeight="1" thickBot="1" thickTop="1">
      <c r="A7" s="1695" t="s">
        <v>3178</v>
      </c>
      <c r="B7" s="1885" t="s">
        <v>3176</v>
      </c>
      <c r="C7" s="1885"/>
      <c r="D7" s="1697" t="s">
        <v>3179</v>
      </c>
      <c r="E7" s="1885" t="s">
        <v>3176</v>
      </c>
      <c r="F7" s="1885"/>
      <c r="G7" s="1697" t="s">
        <v>3179</v>
      </c>
      <c r="H7" s="1885" t="s">
        <v>3176</v>
      </c>
      <c r="I7" s="1885"/>
      <c r="J7" s="1697" t="s">
        <v>3179</v>
      </c>
      <c r="K7" s="1885" t="s">
        <v>3176</v>
      </c>
      <c r="L7" s="1885"/>
      <c r="M7" s="1697" t="s">
        <v>3179</v>
      </c>
      <c r="N7" s="1885" t="s">
        <v>3176</v>
      </c>
      <c r="O7" s="1885"/>
      <c r="P7" s="1697" t="s">
        <v>3179</v>
      </c>
      <c r="Q7" s="1695" t="s">
        <v>3178</v>
      </c>
      <c r="R7" s="1885" t="s">
        <v>3176</v>
      </c>
      <c r="S7" s="1885"/>
      <c r="T7" s="1697" t="s">
        <v>3179</v>
      </c>
      <c r="U7" s="1885" t="s">
        <v>3176</v>
      </c>
      <c r="V7" s="1885"/>
      <c r="W7" s="1697" t="s">
        <v>3179</v>
      </c>
      <c r="X7" s="1885" t="s">
        <v>3176</v>
      </c>
      <c r="Y7" s="1885"/>
      <c r="Z7" s="1697" t="s">
        <v>3179</v>
      </c>
      <c r="AA7" s="1883" t="s">
        <v>3180</v>
      </c>
      <c r="AB7" s="1884"/>
      <c r="AC7" s="1698" t="s">
        <v>3181</v>
      </c>
      <c r="AD7" s="1698" t="s">
        <v>3181</v>
      </c>
    </row>
    <row r="8" spans="1:30" ht="24.75" customHeight="1" thickBot="1" thickTop="1">
      <c r="A8" s="1695"/>
      <c r="B8" s="1696" t="s">
        <v>2584</v>
      </c>
      <c r="C8" s="1696" t="s">
        <v>2585</v>
      </c>
      <c r="D8" s="1699"/>
      <c r="E8" s="1696" t="s">
        <v>2584</v>
      </c>
      <c r="F8" s="1696" t="s">
        <v>2585</v>
      </c>
      <c r="G8" s="1699"/>
      <c r="H8" s="1696" t="s">
        <v>2584</v>
      </c>
      <c r="I8" s="1696" t="s">
        <v>2585</v>
      </c>
      <c r="J8" s="1699"/>
      <c r="K8" s="1696" t="s">
        <v>2584</v>
      </c>
      <c r="L8" s="1696" t="s">
        <v>2585</v>
      </c>
      <c r="M8" s="1699"/>
      <c r="N8" s="1696" t="s">
        <v>2584</v>
      </c>
      <c r="O8" s="1696" t="s">
        <v>2585</v>
      </c>
      <c r="P8" s="1699"/>
      <c r="Q8" s="1695"/>
      <c r="R8" s="1696" t="s">
        <v>2584</v>
      </c>
      <c r="S8" s="1696" t="s">
        <v>2585</v>
      </c>
      <c r="T8" s="1699"/>
      <c r="U8" s="1696" t="s">
        <v>2584</v>
      </c>
      <c r="V8" s="1696" t="s">
        <v>2585</v>
      </c>
      <c r="W8" s="1699"/>
      <c r="X8" s="1696" t="s">
        <v>2584</v>
      </c>
      <c r="Y8" s="1696" t="s">
        <v>2585</v>
      </c>
      <c r="Z8" s="1699"/>
      <c r="AA8" s="1696" t="s">
        <v>2584</v>
      </c>
      <c r="AB8" s="1700" t="s">
        <v>2585</v>
      </c>
      <c r="AC8" s="1699" t="s">
        <v>2688</v>
      </c>
      <c r="AD8" s="1699" t="s">
        <v>2696</v>
      </c>
    </row>
    <row r="9" spans="1:30" ht="24.75" customHeight="1" thickTop="1">
      <c r="A9" s="1701" t="s">
        <v>3182</v>
      </c>
      <c r="B9" s="1702">
        <v>684</v>
      </c>
      <c r="C9" s="1703">
        <v>793</v>
      </c>
      <c r="D9" s="1704">
        <v>792.73</v>
      </c>
      <c r="E9" s="1702">
        <v>0</v>
      </c>
      <c r="F9" s="1703">
        <v>0</v>
      </c>
      <c r="G9" s="1704">
        <v>0</v>
      </c>
      <c r="H9" s="1702">
        <v>31726</v>
      </c>
      <c r="I9" s="1703">
        <v>34407</v>
      </c>
      <c r="J9" s="1704">
        <v>34407.86</v>
      </c>
      <c r="K9" s="1702">
        <v>7083</v>
      </c>
      <c r="L9" s="1703">
        <v>5286</v>
      </c>
      <c r="M9" s="1704">
        <v>5285.77</v>
      </c>
      <c r="N9" s="1702">
        <v>8309</v>
      </c>
      <c r="O9" s="1703">
        <v>9281.28</v>
      </c>
      <c r="P9" s="1705">
        <v>9281.7</v>
      </c>
      <c r="Q9" s="1701" t="s">
        <v>3182</v>
      </c>
      <c r="R9" s="1702">
        <v>16047</v>
      </c>
      <c r="S9" s="1703">
        <v>15908.12</v>
      </c>
      <c r="T9" s="1704">
        <v>15908.72</v>
      </c>
      <c r="U9" s="1702">
        <v>108085</v>
      </c>
      <c r="V9" s="1703">
        <v>71870.5</v>
      </c>
      <c r="W9" s="1704">
        <v>71874.07</v>
      </c>
      <c r="X9" s="1702">
        <v>21145</v>
      </c>
      <c r="Y9" s="1703">
        <f>16923.5+17197.59</f>
        <v>34121.09</v>
      </c>
      <c r="Z9" s="1704">
        <f>17198.09+16923.99</f>
        <v>34122.08</v>
      </c>
      <c r="AA9" s="1702">
        <f aca="true" t="shared" si="0" ref="AA9:AA40">B9+E9+H9+K9+N9+R9+U9+X9</f>
        <v>193079</v>
      </c>
      <c r="AB9" s="1703">
        <f aca="true" t="shared" si="1" ref="AB9:AB40">C9+F9+I9+L9+O9+S9+V9+Y9</f>
        <v>171666.99</v>
      </c>
      <c r="AC9" s="1704">
        <f aca="true" t="shared" si="2" ref="AC9:AC40">D9+G9+J9+M9+P9+T9+W9+Z9</f>
        <v>171672.93</v>
      </c>
      <c r="AD9" s="1706">
        <f>AC9/AB9</f>
        <v>1.0000346018765751</v>
      </c>
    </row>
    <row r="10" spans="1:30" ht="24.75" customHeight="1">
      <c r="A10" s="1707" t="s">
        <v>3183</v>
      </c>
      <c r="B10" s="1708">
        <v>1753</v>
      </c>
      <c r="C10" s="1709">
        <v>3484</v>
      </c>
      <c r="D10" s="1710">
        <v>3483.45</v>
      </c>
      <c r="E10" s="1708">
        <v>0</v>
      </c>
      <c r="F10" s="1709">
        <v>0</v>
      </c>
      <c r="G10" s="1710">
        <v>0</v>
      </c>
      <c r="H10" s="1708">
        <v>19140</v>
      </c>
      <c r="I10" s="1709">
        <v>17985</v>
      </c>
      <c r="J10" s="1710">
        <v>17984.59</v>
      </c>
      <c r="K10" s="1708">
        <v>4621</v>
      </c>
      <c r="L10" s="1709">
        <v>4544</v>
      </c>
      <c r="M10" s="1710">
        <v>4543.54</v>
      </c>
      <c r="N10" s="1708">
        <v>12719</v>
      </c>
      <c r="O10" s="1709">
        <v>9008.28</v>
      </c>
      <c r="P10" s="1711">
        <v>9008.28</v>
      </c>
      <c r="Q10" s="1707" t="s">
        <v>3183</v>
      </c>
      <c r="R10" s="1708">
        <v>11054</v>
      </c>
      <c r="S10" s="1709">
        <v>10093.54</v>
      </c>
      <c r="T10" s="1710">
        <v>10093.54</v>
      </c>
      <c r="U10" s="1708">
        <v>19136</v>
      </c>
      <c r="V10" s="1709">
        <v>15089.56</v>
      </c>
      <c r="W10" s="1710">
        <v>15089.55</v>
      </c>
      <c r="X10" s="1708">
        <v>16638</v>
      </c>
      <c r="Y10" s="1709">
        <f>13212.8+9720.2</f>
        <v>22933</v>
      </c>
      <c r="Z10" s="1710">
        <f>9720.05+7164.91</f>
        <v>16884.96</v>
      </c>
      <c r="AA10" s="1708">
        <f t="shared" si="0"/>
        <v>85061</v>
      </c>
      <c r="AB10" s="1709">
        <f t="shared" si="1"/>
        <v>83137.38</v>
      </c>
      <c r="AC10" s="1710">
        <f t="shared" si="2"/>
        <v>77087.91</v>
      </c>
      <c r="AD10" s="1712">
        <f aca="true" t="shared" si="3" ref="AD10:AD68">AC10/AB10</f>
        <v>0.9272352580752484</v>
      </c>
    </row>
    <row r="11" spans="1:30" ht="24.75" customHeight="1">
      <c r="A11" s="1707" t="s">
        <v>3184</v>
      </c>
      <c r="B11" s="1708">
        <v>1134</v>
      </c>
      <c r="C11" s="1709">
        <v>952</v>
      </c>
      <c r="D11" s="1710">
        <v>952.38</v>
      </c>
      <c r="E11" s="1708">
        <v>0</v>
      </c>
      <c r="F11" s="1709">
        <v>0</v>
      </c>
      <c r="G11" s="1710">
        <v>0</v>
      </c>
      <c r="H11" s="1708">
        <v>16535</v>
      </c>
      <c r="I11" s="1709">
        <v>16892</v>
      </c>
      <c r="J11" s="1710">
        <v>16891.48</v>
      </c>
      <c r="K11" s="1708">
        <v>4609</v>
      </c>
      <c r="L11" s="1709">
        <v>4050</v>
      </c>
      <c r="M11" s="1710">
        <v>4049.24</v>
      </c>
      <c r="N11" s="1708">
        <v>13952</v>
      </c>
      <c r="O11" s="1709">
        <v>15371</v>
      </c>
      <c r="P11" s="1711">
        <v>15370.6</v>
      </c>
      <c r="Q11" s="1707" t="s">
        <v>3184</v>
      </c>
      <c r="R11" s="1708">
        <v>7970</v>
      </c>
      <c r="S11" s="1709">
        <v>7426.23</v>
      </c>
      <c r="T11" s="1710">
        <v>7426.23</v>
      </c>
      <c r="U11" s="1708">
        <v>11420</v>
      </c>
      <c r="V11" s="1709">
        <v>9510.04</v>
      </c>
      <c r="W11" s="1710">
        <v>9510.04</v>
      </c>
      <c r="X11" s="1708">
        <v>18893</v>
      </c>
      <c r="Y11" s="1709">
        <f>20470.06+5295.79</f>
        <v>25765.850000000002</v>
      </c>
      <c r="Z11" s="1710">
        <f>5795.79+20266.77</f>
        <v>26062.56</v>
      </c>
      <c r="AA11" s="1708">
        <f t="shared" si="0"/>
        <v>74513</v>
      </c>
      <c r="AB11" s="1709">
        <f t="shared" si="1"/>
        <v>79967.12</v>
      </c>
      <c r="AC11" s="1710">
        <f t="shared" si="2"/>
        <v>80262.53</v>
      </c>
      <c r="AD11" s="1712">
        <f t="shared" si="3"/>
        <v>1.0036941432928934</v>
      </c>
    </row>
    <row r="12" spans="1:30" ht="24.75" customHeight="1">
      <c r="A12" s="1707" t="s">
        <v>3185</v>
      </c>
      <c r="B12" s="1708">
        <v>6353</v>
      </c>
      <c r="C12" s="1709">
        <v>5995</v>
      </c>
      <c r="D12" s="1710">
        <v>6394.92</v>
      </c>
      <c r="E12" s="1708">
        <v>0</v>
      </c>
      <c r="F12" s="1709">
        <v>0</v>
      </c>
      <c r="G12" s="1710">
        <v>0</v>
      </c>
      <c r="H12" s="1708">
        <v>24101</v>
      </c>
      <c r="I12" s="1709">
        <v>24013</v>
      </c>
      <c r="J12" s="1710">
        <v>24012.51</v>
      </c>
      <c r="K12" s="1708">
        <v>5398</v>
      </c>
      <c r="L12" s="1709">
        <v>4922</v>
      </c>
      <c r="M12" s="1710">
        <v>4922</v>
      </c>
      <c r="N12" s="1708">
        <v>11767</v>
      </c>
      <c r="O12" s="1709">
        <v>11329</v>
      </c>
      <c r="P12" s="1711">
        <v>11329.36</v>
      </c>
      <c r="Q12" s="1707" t="s">
        <v>3185</v>
      </c>
      <c r="R12" s="1708">
        <v>18490</v>
      </c>
      <c r="S12" s="1709">
        <v>17897</v>
      </c>
      <c r="T12" s="1710">
        <v>17897.28</v>
      </c>
      <c r="U12" s="1708">
        <v>17530</v>
      </c>
      <c r="V12" s="1709">
        <v>17859</v>
      </c>
      <c r="W12" s="1710">
        <v>18338.91</v>
      </c>
      <c r="X12" s="1708">
        <v>25251</v>
      </c>
      <c r="Y12" s="1709">
        <f>5285+27774</f>
        <v>33059</v>
      </c>
      <c r="Z12" s="1710">
        <f>13850.28+5284.44</f>
        <v>19134.72</v>
      </c>
      <c r="AA12" s="1708">
        <f t="shared" si="0"/>
        <v>108890</v>
      </c>
      <c r="AB12" s="1709">
        <f t="shared" si="1"/>
        <v>115074</v>
      </c>
      <c r="AC12" s="1710">
        <f t="shared" si="2"/>
        <v>102029.7</v>
      </c>
      <c r="AD12" s="1712">
        <f t="shared" si="3"/>
        <v>0.8866442463110694</v>
      </c>
    </row>
    <row r="13" spans="1:30" ht="24.75" customHeight="1">
      <c r="A13" s="1707" t="s">
        <v>3186</v>
      </c>
      <c r="B13" s="1708">
        <v>1580</v>
      </c>
      <c r="C13" s="1709">
        <v>736</v>
      </c>
      <c r="D13" s="1710">
        <v>735.46</v>
      </c>
      <c r="E13" s="1708">
        <v>200</v>
      </c>
      <c r="F13" s="1709">
        <v>65</v>
      </c>
      <c r="G13" s="1710">
        <v>64.81</v>
      </c>
      <c r="H13" s="1708">
        <v>25635</v>
      </c>
      <c r="I13" s="1709">
        <v>23350</v>
      </c>
      <c r="J13" s="1710">
        <v>23349.86</v>
      </c>
      <c r="K13" s="1708">
        <v>6052</v>
      </c>
      <c r="L13" s="1709">
        <v>5098</v>
      </c>
      <c r="M13" s="1710">
        <v>5097.68</v>
      </c>
      <c r="N13" s="1708">
        <v>21725</v>
      </c>
      <c r="O13" s="1709">
        <v>20493.74</v>
      </c>
      <c r="P13" s="1711">
        <v>20493.74</v>
      </c>
      <c r="Q13" s="1707" t="s">
        <v>3186</v>
      </c>
      <c r="R13" s="1708">
        <v>15945</v>
      </c>
      <c r="S13" s="1709">
        <v>13474.64</v>
      </c>
      <c r="T13" s="1710">
        <v>13474.64</v>
      </c>
      <c r="U13" s="1708">
        <v>12350</v>
      </c>
      <c r="V13" s="1709">
        <v>13641.61</v>
      </c>
      <c r="W13" s="1710">
        <v>13641.61</v>
      </c>
      <c r="X13" s="1708">
        <v>13269</v>
      </c>
      <c r="Y13" s="1709">
        <f>3690.94+4316.53</f>
        <v>8007.469999999999</v>
      </c>
      <c r="Z13" s="1710">
        <f>10340.94+4316.53</f>
        <v>14657.470000000001</v>
      </c>
      <c r="AA13" s="1708">
        <f t="shared" si="0"/>
        <v>96756</v>
      </c>
      <c r="AB13" s="1709">
        <f t="shared" si="1"/>
        <v>84866.46</v>
      </c>
      <c r="AC13" s="1710">
        <f t="shared" si="2"/>
        <v>91515.27</v>
      </c>
      <c r="AD13" s="1712">
        <f t="shared" si="3"/>
        <v>1.078344377743575</v>
      </c>
    </row>
    <row r="14" spans="1:30" ht="24.75" customHeight="1">
      <c r="A14" s="1707" t="s">
        <v>3187</v>
      </c>
      <c r="B14" s="1708">
        <v>2200</v>
      </c>
      <c r="C14" s="1709">
        <v>1902</v>
      </c>
      <c r="D14" s="1710">
        <v>1901.48</v>
      </c>
      <c r="E14" s="1708">
        <v>0</v>
      </c>
      <c r="F14" s="1709">
        <v>0</v>
      </c>
      <c r="G14" s="1710">
        <v>0</v>
      </c>
      <c r="H14" s="1708">
        <v>18500</v>
      </c>
      <c r="I14" s="1709">
        <v>20037</v>
      </c>
      <c r="J14" s="1710">
        <v>20037.33</v>
      </c>
      <c r="K14" s="1708">
        <v>4942</v>
      </c>
      <c r="L14" s="1709">
        <v>4135</v>
      </c>
      <c r="M14" s="1710">
        <v>4135.23</v>
      </c>
      <c r="N14" s="1708">
        <v>7000</v>
      </c>
      <c r="O14" s="1709">
        <v>7193.21</v>
      </c>
      <c r="P14" s="1711">
        <v>7193.2</v>
      </c>
      <c r="Q14" s="1707" t="s">
        <v>3187</v>
      </c>
      <c r="R14" s="1708">
        <v>11507</v>
      </c>
      <c r="S14" s="1709">
        <v>10407.96</v>
      </c>
      <c r="T14" s="1710">
        <v>10407.95</v>
      </c>
      <c r="U14" s="1708">
        <v>16846</v>
      </c>
      <c r="V14" s="1709">
        <v>10165.92</v>
      </c>
      <c r="W14" s="1710">
        <v>10165.91</v>
      </c>
      <c r="X14" s="1708">
        <v>17881</v>
      </c>
      <c r="Y14" s="1709">
        <f>18352.56+0</f>
        <v>18352.56</v>
      </c>
      <c r="Z14" s="1710">
        <v>18352.56</v>
      </c>
      <c r="AA14" s="1708">
        <f t="shared" si="0"/>
        <v>78876</v>
      </c>
      <c r="AB14" s="1709">
        <f t="shared" si="1"/>
        <v>72193.65</v>
      </c>
      <c r="AC14" s="1710">
        <f t="shared" si="2"/>
        <v>72193.66</v>
      </c>
      <c r="AD14" s="1712">
        <f t="shared" si="3"/>
        <v>1.0000001385163377</v>
      </c>
    </row>
    <row r="15" spans="1:30" ht="24.75" customHeight="1">
      <c r="A15" s="1707" t="s">
        <v>3188</v>
      </c>
      <c r="B15" s="1708">
        <v>2554</v>
      </c>
      <c r="C15" s="1709">
        <v>1816</v>
      </c>
      <c r="D15" s="1710">
        <v>1816.08</v>
      </c>
      <c r="E15" s="1708">
        <v>850</v>
      </c>
      <c r="F15" s="1709">
        <v>143</v>
      </c>
      <c r="G15" s="1710">
        <v>142.74</v>
      </c>
      <c r="H15" s="1708">
        <v>25529</v>
      </c>
      <c r="I15" s="1709">
        <v>25196</v>
      </c>
      <c r="J15" s="1710">
        <v>25196.01</v>
      </c>
      <c r="K15" s="1708">
        <v>5143</v>
      </c>
      <c r="L15" s="1709">
        <v>5207</v>
      </c>
      <c r="M15" s="1710">
        <v>5204.64</v>
      </c>
      <c r="N15" s="1708">
        <v>27937</v>
      </c>
      <c r="O15" s="1709">
        <v>28190.82</v>
      </c>
      <c r="P15" s="1711">
        <v>28177.65</v>
      </c>
      <c r="Q15" s="1707" t="s">
        <v>3188</v>
      </c>
      <c r="R15" s="1708">
        <v>13965</v>
      </c>
      <c r="S15" s="1709">
        <v>14817</v>
      </c>
      <c r="T15" s="1710">
        <v>12817</v>
      </c>
      <c r="U15" s="1708">
        <v>41000</v>
      </c>
      <c r="V15" s="1709">
        <v>34025.45</v>
      </c>
      <c r="W15" s="1710">
        <v>34025.45</v>
      </c>
      <c r="X15" s="1708">
        <v>21250</v>
      </c>
      <c r="Y15" s="1709">
        <f>13362.36+14137.84</f>
        <v>27500.2</v>
      </c>
      <c r="Z15" s="1710">
        <f>13344.19+14137.8</f>
        <v>27481.989999999998</v>
      </c>
      <c r="AA15" s="1708">
        <f t="shared" si="0"/>
        <v>138228</v>
      </c>
      <c r="AB15" s="1709">
        <f t="shared" si="1"/>
        <v>136895.47</v>
      </c>
      <c r="AC15" s="1710">
        <f t="shared" si="2"/>
        <v>134861.56</v>
      </c>
      <c r="AD15" s="1712">
        <f t="shared" si="3"/>
        <v>0.985142605522301</v>
      </c>
    </row>
    <row r="16" spans="1:30" ht="24.75" customHeight="1">
      <c r="A16" s="1707" t="s">
        <v>3189</v>
      </c>
      <c r="B16" s="1708">
        <v>120</v>
      </c>
      <c r="C16" s="1709">
        <v>14</v>
      </c>
      <c r="D16" s="1710">
        <v>14.04</v>
      </c>
      <c r="E16" s="1708">
        <v>0</v>
      </c>
      <c r="F16" s="1709">
        <v>0</v>
      </c>
      <c r="G16" s="1710">
        <v>0</v>
      </c>
      <c r="H16" s="1708">
        <v>25633</v>
      </c>
      <c r="I16" s="1709">
        <v>24893</v>
      </c>
      <c r="J16" s="1710">
        <v>24893.09</v>
      </c>
      <c r="K16" s="1708">
        <v>8055</v>
      </c>
      <c r="L16" s="1709">
        <v>6408.17</v>
      </c>
      <c r="M16" s="1710">
        <v>6408.16</v>
      </c>
      <c r="N16" s="1708">
        <v>21062</v>
      </c>
      <c r="O16" s="1709">
        <v>18098.27</v>
      </c>
      <c r="P16" s="1711">
        <v>18098.26</v>
      </c>
      <c r="Q16" s="1707" t="s">
        <v>3189</v>
      </c>
      <c r="R16" s="1708">
        <v>21139</v>
      </c>
      <c r="S16" s="1709">
        <v>19152.76</v>
      </c>
      <c r="T16" s="1710">
        <v>19152.75</v>
      </c>
      <c r="U16" s="1708">
        <v>30000</v>
      </c>
      <c r="V16" s="1709">
        <v>31485.34</v>
      </c>
      <c r="W16" s="1710">
        <v>31485.34</v>
      </c>
      <c r="X16" s="1708">
        <v>23693</v>
      </c>
      <c r="Y16" s="1709">
        <f>28739.55+2195.35</f>
        <v>30934.899999999998</v>
      </c>
      <c r="Z16" s="1710">
        <f>28739.54+2195.34</f>
        <v>30934.88</v>
      </c>
      <c r="AA16" s="1708">
        <f t="shared" si="0"/>
        <v>129702</v>
      </c>
      <c r="AB16" s="1709">
        <f t="shared" si="1"/>
        <v>130986.43999999999</v>
      </c>
      <c r="AC16" s="1710">
        <f t="shared" si="2"/>
        <v>130986.52</v>
      </c>
      <c r="AD16" s="1712">
        <f t="shared" si="3"/>
        <v>1.0000006107502426</v>
      </c>
    </row>
    <row r="17" spans="1:30" ht="24.75" customHeight="1" thickBot="1">
      <c r="A17" s="1707" t="s">
        <v>3190</v>
      </c>
      <c r="B17" s="1713">
        <v>5772</v>
      </c>
      <c r="C17" s="1714">
        <v>5136</v>
      </c>
      <c r="D17" s="1715">
        <v>5135.74</v>
      </c>
      <c r="E17" s="1713">
        <v>12050</v>
      </c>
      <c r="F17" s="1714">
        <v>10628</v>
      </c>
      <c r="G17" s="1715">
        <v>11241.01</v>
      </c>
      <c r="H17" s="1713">
        <v>38590</v>
      </c>
      <c r="I17" s="1714">
        <v>37354</v>
      </c>
      <c r="J17" s="1715">
        <v>37353.62</v>
      </c>
      <c r="K17" s="1713">
        <v>8456</v>
      </c>
      <c r="L17" s="1714">
        <v>7501.39</v>
      </c>
      <c r="M17" s="1715">
        <v>7501.39</v>
      </c>
      <c r="N17" s="1713">
        <v>33956</v>
      </c>
      <c r="O17" s="1714">
        <v>26954.2</v>
      </c>
      <c r="P17" s="1716">
        <v>26954.2</v>
      </c>
      <c r="Q17" s="1707" t="s">
        <v>3190</v>
      </c>
      <c r="R17" s="1713">
        <v>10365</v>
      </c>
      <c r="S17" s="1714">
        <v>9838.23</v>
      </c>
      <c r="T17" s="1715">
        <v>9838.22</v>
      </c>
      <c r="U17" s="1713">
        <v>4500</v>
      </c>
      <c r="V17" s="1714">
        <v>9753.93</v>
      </c>
      <c r="W17" s="1715">
        <v>9753.82</v>
      </c>
      <c r="X17" s="1713">
        <v>28511</v>
      </c>
      <c r="Y17" s="1714">
        <f>56472.68+16889.14</f>
        <v>73361.82</v>
      </c>
      <c r="Z17" s="1715">
        <f>16889.14+56472.67</f>
        <v>73361.81</v>
      </c>
      <c r="AA17" s="1713">
        <f t="shared" si="0"/>
        <v>142200</v>
      </c>
      <c r="AB17" s="1714">
        <f t="shared" si="1"/>
        <v>180527.57</v>
      </c>
      <c r="AC17" s="1715">
        <f t="shared" si="2"/>
        <v>181139.81</v>
      </c>
      <c r="AD17" s="1717">
        <f t="shared" si="3"/>
        <v>1.0033913933478416</v>
      </c>
    </row>
    <row r="18" spans="1:30" ht="24.75" customHeight="1" thickBot="1" thickTop="1">
      <c r="A18" s="1718" t="s">
        <v>3138</v>
      </c>
      <c r="B18" s="1719">
        <f>SUM(B9:B17)</f>
        <v>22150</v>
      </c>
      <c r="C18" s="1720">
        <f>SUM(C9:C17)</f>
        <v>20828</v>
      </c>
      <c r="D18" s="1721">
        <f aca="true" t="shared" si="4" ref="D18:Z18">SUM(D9:D17)</f>
        <v>21226.28</v>
      </c>
      <c r="E18" s="1719">
        <f t="shared" si="4"/>
        <v>13100</v>
      </c>
      <c r="F18" s="1720">
        <f t="shared" si="4"/>
        <v>10836</v>
      </c>
      <c r="G18" s="1721">
        <f t="shared" si="4"/>
        <v>11448.56</v>
      </c>
      <c r="H18" s="1719">
        <f t="shared" si="4"/>
        <v>225389</v>
      </c>
      <c r="I18" s="1720">
        <f t="shared" si="4"/>
        <v>224127</v>
      </c>
      <c r="J18" s="1721">
        <f t="shared" si="4"/>
        <v>224126.35</v>
      </c>
      <c r="K18" s="1719">
        <f t="shared" si="4"/>
        <v>54359</v>
      </c>
      <c r="L18" s="1720">
        <f t="shared" si="4"/>
        <v>47151.56</v>
      </c>
      <c r="M18" s="1721">
        <f t="shared" si="4"/>
        <v>47147.65000000001</v>
      </c>
      <c r="N18" s="1719">
        <f t="shared" si="4"/>
        <v>158427</v>
      </c>
      <c r="O18" s="1720">
        <f t="shared" si="4"/>
        <v>145919.80000000002</v>
      </c>
      <c r="P18" s="1722">
        <f t="shared" si="4"/>
        <v>145906.99</v>
      </c>
      <c r="Q18" s="1718" t="s">
        <v>3138</v>
      </c>
      <c r="R18" s="1719">
        <f t="shared" si="4"/>
        <v>126482</v>
      </c>
      <c r="S18" s="1720">
        <f t="shared" si="4"/>
        <v>119015.47999999998</v>
      </c>
      <c r="T18" s="1721">
        <f t="shared" si="4"/>
        <v>117016.33</v>
      </c>
      <c r="U18" s="1719">
        <f t="shared" si="4"/>
        <v>260867</v>
      </c>
      <c r="V18" s="1720">
        <f t="shared" si="4"/>
        <v>213401.35</v>
      </c>
      <c r="W18" s="1721">
        <f t="shared" si="4"/>
        <v>213884.69999999998</v>
      </c>
      <c r="X18" s="1719">
        <f t="shared" si="4"/>
        <v>186531</v>
      </c>
      <c r="Y18" s="1720">
        <f t="shared" si="4"/>
        <v>274035.89</v>
      </c>
      <c r="Z18" s="1721">
        <f t="shared" si="4"/>
        <v>260993.03</v>
      </c>
      <c r="AA18" s="1719">
        <f t="shared" si="0"/>
        <v>1047305</v>
      </c>
      <c r="AB18" s="1720">
        <f t="shared" si="1"/>
        <v>1055315.08</v>
      </c>
      <c r="AC18" s="1721">
        <f t="shared" si="2"/>
        <v>1041749.89</v>
      </c>
      <c r="AD18" s="1723">
        <f t="shared" si="3"/>
        <v>0.9871458389469806</v>
      </c>
    </row>
    <row r="19" spans="1:30" ht="24.75" customHeight="1" thickTop="1">
      <c r="A19" s="1701" t="s">
        <v>2697</v>
      </c>
      <c r="B19" s="1702">
        <v>815</v>
      </c>
      <c r="C19" s="1703">
        <v>909</v>
      </c>
      <c r="D19" s="1704">
        <v>909</v>
      </c>
      <c r="E19" s="1702">
        <v>1070</v>
      </c>
      <c r="F19" s="1703">
        <v>1202</v>
      </c>
      <c r="G19" s="1704">
        <v>1201.88</v>
      </c>
      <c r="H19" s="1702">
        <v>15745</v>
      </c>
      <c r="I19" s="1703">
        <v>16797</v>
      </c>
      <c r="J19" s="1704">
        <v>13807.23</v>
      </c>
      <c r="K19" s="1702">
        <v>2826</v>
      </c>
      <c r="L19" s="1703">
        <v>2271.39</v>
      </c>
      <c r="M19" s="1704">
        <v>2271.34</v>
      </c>
      <c r="N19" s="1702">
        <v>13850</v>
      </c>
      <c r="O19" s="1703">
        <v>13518.93</v>
      </c>
      <c r="P19" s="1705">
        <v>13518.92</v>
      </c>
      <c r="Q19" s="1701" t="s">
        <v>2697</v>
      </c>
      <c r="R19" s="1702">
        <v>5780</v>
      </c>
      <c r="S19" s="1703">
        <v>4265.45</v>
      </c>
      <c r="T19" s="1704">
        <v>4265.44</v>
      </c>
      <c r="U19" s="1702">
        <v>42442</v>
      </c>
      <c r="V19" s="1703">
        <v>22534</v>
      </c>
      <c r="W19" s="1704">
        <v>22533.53</v>
      </c>
      <c r="X19" s="1702">
        <v>16313</v>
      </c>
      <c r="Y19" s="1703">
        <f>8997.06+23017.33</f>
        <v>32014.39</v>
      </c>
      <c r="Z19" s="1704">
        <f>29017.33+5718.36</f>
        <v>34735.69</v>
      </c>
      <c r="AA19" s="1702">
        <f t="shared" si="0"/>
        <v>98841</v>
      </c>
      <c r="AB19" s="1703">
        <f t="shared" si="1"/>
        <v>93512.16</v>
      </c>
      <c r="AC19" s="1704">
        <f t="shared" si="2"/>
        <v>93243.03</v>
      </c>
      <c r="AD19" s="1706">
        <f t="shared" si="3"/>
        <v>0.997121978574765</v>
      </c>
    </row>
    <row r="20" spans="1:30" ht="24.75" customHeight="1">
      <c r="A20" s="1707" t="s">
        <v>2644</v>
      </c>
      <c r="B20" s="1708">
        <v>0</v>
      </c>
      <c r="C20" s="1709">
        <v>0</v>
      </c>
      <c r="D20" s="1710">
        <v>0</v>
      </c>
      <c r="E20" s="1708">
        <v>0</v>
      </c>
      <c r="F20" s="1709">
        <v>0</v>
      </c>
      <c r="G20" s="1710">
        <v>0</v>
      </c>
      <c r="H20" s="1708">
        <v>2790</v>
      </c>
      <c r="I20" s="1709">
        <v>2250</v>
      </c>
      <c r="J20" s="1710">
        <v>2249.61</v>
      </c>
      <c r="K20" s="1708">
        <v>1410</v>
      </c>
      <c r="L20" s="1709">
        <v>876.83</v>
      </c>
      <c r="M20" s="1710">
        <v>876.83</v>
      </c>
      <c r="N20" s="1708">
        <v>530</v>
      </c>
      <c r="O20" s="1709">
        <v>924.09</v>
      </c>
      <c r="P20" s="1711">
        <v>924.09</v>
      </c>
      <c r="Q20" s="1707" t="s">
        <v>2644</v>
      </c>
      <c r="R20" s="1708">
        <v>3800</v>
      </c>
      <c r="S20" s="1709">
        <v>2931.25</v>
      </c>
      <c r="T20" s="1710">
        <v>2931.25</v>
      </c>
      <c r="U20" s="1708">
        <v>1130</v>
      </c>
      <c r="V20" s="1709">
        <v>120</v>
      </c>
      <c r="W20" s="1710">
        <v>119.55</v>
      </c>
      <c r="X20" s="1708">
        <v>3601</v>
      </c>
      <c r="Y20" s="1709">
        <f>10972.16+2156.92</f>
        <v>13129.08</v>
      </c>
      <c r="Z20" s="1710">
        <f>26861.15+2156.48</f>
        <v>29017.63</v>
      </c>
      <c r="AA20" s="1708">
        <f t="shared" si="0"/>
        <v>13261</v>
      </c>
      <c r="AB20" s="1709">
        <f t="shared" si="1"/>
        <v>20231.25</v>
      </c>
      <c r="AC20" s="1710">
        <f t="shared" si="2"/>
        <v>36118.96</v>
      </c>
      <c r="AD20" s="1712">
        <f t="shared" si="3"/>
        <v>1.785305406240346</v>
      </c>
    </row>
    <row r="21" spans="1:30" ht="24.75" customHeight="1" thickBot="1">
      <c r="A21" s="1724" t="s">
        <v>2645</v>
      </c>
      <c r="B21" s="1725">
        <v>10</v>
      </c>
      <c r="C21" s="1726">
        <v>0</v>
      </c>
      <c r="D21" s="1727">
        <v>0</v>
      </c>
      <c r="E21" s="1725">
        <v>15</v>
      </c>
      <c r="F21" s="1726">
        <v>0</v>
      </c>
      <c r="G21" s="1727">
        <v>0</v>
      </c>
      <c r="H21" s="1725">
        <v>10428</v>
      </c>
      <c r="I21" s="1726">
        <v>6607</v>
      </c>
      <c r="J21" s="1727">
        <v>6606.54</v>
      </c>
      <c r="K21" s="1725">
        <v>3009</v>
      </c>
      <c r="L21" s="1726">
        <v>1376.78</v>
      </c>
      <c r="M21" s="1727">
        <v>1376.74</v>
      </c>
      <c r="N21" s="1725">
        <v>4785</v>
      </c>
      <c r="O21" s="1726">
        <v>2624.16</v>
      </c>
      <c r="P21" s="1728">
        <v>2624.15</v>
      </c>
      <c r="Q21" s="1724" t="s">
        <v>2645</v>
      </c>
      <c r="R21" s="1725">
        <v>3445</v>
      </c>
      <c r="S21" s="1726">
        <v>2711.38</v>
      </c>
      <c r="T21" s="1727">
        <v>2707.82</v>
      </c>
      <c r="U21" s="1725">
        <v>3213</v>
      </c>
      <c r="V21" s="1726">
        <v>2775.77</v>
      </c>
      <c r="W21" s="1727">
        <v>2775.77</v>
      </c>
      <c r="X21" s="1725">
        <v>2690</v>
      </c>
      <c r="Y21" s="1726">
        <f>11889.37+12366.18</f>
        <v>24255.550000000003</v>
      </c>
      <c r="Z21" s="1727">
        <f>11889.35+12366.14</f>
        <v>24255.489999999998</v>
      </c>
      <c r="AA21" s="1725">
        <f t="shared" si="0"/>
        <v>27595</v>
      </c>
      <c r="AB21" s="1726">
        <f t="shared" si="1"/>
        <v>40350.64</v>
      </c>
      <c r="AC21" s="1727">
        <f t="shared" si="2"/>
        <v>40346.509999999995</v>
      </c>
      <c r="AD21" s="1729">
        <f t="shared" si="3"/>
        <v>0.9998976472244305</v>
      </c>
    </row>
    <row r="22" spans="1:30" ht="24.75" customHeight="1" thickBot="1" thickTop="1">
      <c r="A22" s="1718" t="s">
        <v>3142</v>
      </c>
      <c r="B22" s="1719">
        <f>SUM(B18:B21)</f>
        <v>22975</v>
      </c>
      <c r="C22" s="1720">
        <f aca="true" t="shared" si="5" ref="C22:Z22">SUM(C18:C21)</f>
        <v>21737</v>
      </c>
      <c r="D22" s="1721">
        <f t="shared" si="5"/>
        <v>22135.28</v>
      </c>
      <c r="E22" s="1719">
        <f t="shared" si="5"/>
        <v>14185</v>
      </c>
      <c r="F22" s="1720">
        <f t="shared" si="5"/>
        <v>12038</v>
      </c>
      <c r="G22" s="1721">
        <f t="shared" si="5"/>
        <v>12650.439999999999</v>
      </c>
      <c r="H22" s="1719">
        <f t="shared" si="5"/>
        <v>254352</v>
      </c>
      <c r="I22" s="1720">
        <f t="shared" si="5"/>
        <v>249781</v>
      </c>
      <c r="J22" s="1721">
        <f t="shared" si="5"/>
        <v>246789.73</v>
      </c>
      <c r="K22" s="1719">
        <f t="shared" si="5"/>
        <v>61604</v>
      </c>
      <c r="L22" s="1720">
        <f t="shared" si="5"/>
        <v>51676.56</v>
      </c>
      <c r="M22" s="1721">
        <f t="shared" si="5"/>
        <v>51672.560000000005</v>
      </c>
      <c r="N22" s="1719">
        <f t="shared" si="5"/>
        <v>177592</v>
      </c>
      <c r="O22" s="1720">
        <f t="shared" si="5"/>
        <v>162986.98</v>
      </c>
      <c r="P22" s="1722">
        <f t="shared" si="5"/>
        <v>162974.15</v>
      </c>
      <c r="Q22" s="1718" t="s">
        <v>3142</v>
      </c>
      <c r="R22" s="1719">
        <f t="shared" si="5"/>
        <v>139507</v>
      </c>
      <c r="S22" s="1720">
        <f t="shared" si="5"/>
        <v>128923.55999999998</v>
      </c>
      <c r="T22" s="1721">
        <f t="shared" si="5"/>
        <v>126920.84000000001</v>
      </c>
      <c r="U22" s="1719">
        <f t="shared" si="5"/>
        <v>307652</v>
      </c>
      <c r="V22" s="1720">
        <f t="shared" si="5"/>
        <v>238831.12</v>
      </c>
      <c r="W22" s="1721">
        <f t="shared" si="5"/>
        <v>239313.54999999996</v>
      </c>
      <c r="X22" s="1719">
        <f t="shared" si="5"/>
        <v>209135</v>
      </c>
      <c r="Y22" s="1720">
        <f t="shared" si="5"/>
        <v>343434.91000000003</v>
      </c>
      <c r="Z22" s="1721">
        <f t="shared" si="5"/>
        <v>349001.83999999997</v>
      </c>
      <c r="AA22" s="1719">
        <f t="shared" si="0"/>
        <v>1187002</v>
      </c>
      <c r="AB22" s="1720">
        <f t="shared" si="1"/>
        <v>1209409.13</v>
      </c>
      <c r="AC22" s="1721">
        <f t="shared" si="2"/>
        <v>1211458.39</v>
      </c>
      <c r="AD22" s="1723">
        <f t="shared" si="3"/>
        <v>1.0016944307341222</v>
      </c>
    </row>
    <row r="23" spans="1:30" ht="24.75" customHeight="1" thickTop="1">
      <c r="A23" s="1730" t="s">
        <v>2723</v>
      </c>
      <c r="B23" s="1702">
        <v>600</v>
      </c>
      <c r="C23" s="1703">
        <v>599</v>
      </c>
      <c r="D23" s="1704">
        <v>598.61</v>
      </c>
      <c r="E23" s="1702">
        <v>0</v>
      </c>
      <c r="F23" s="1703">
        <v>0</v>
      </c>
      <c r="G23" s="1704">
        <v>0</v>
      </c>
      <c r="H23" s="1702">
        <v>8250</v>
      </c>
      <c r="I23" s="1703">
        <v>6424</v>
      </c>
      <c r="J23" s="1704">
        <v>6423.52</v>
      </c>
      <c r="K23" s="1702">
        <v>275</v>
      </c>
      <c r="L23" s="1703">
        <v>415.1</v>
      </c>
      <c r="M23" s="1704">
        <v>415.05</v>
      </c>
      <c r="N23" s="1702">
        <v>0</v>
      </c>
      <c r="O23" s="1703">
        <v>0</v>
      </c>
      <c r="P23" s="1705">
        <v>0</v>
      </c>
      <c r="Q23" s="1730" t="s">
        <v>2723</v>
      </c>
      <c r="R23" s="1702">
        <v>3600</v>
      </c>
      <c r="S23" s="1703">
        <v>2472.24</v>
      </c>
      <c r="T23" s="1704">
        <v>2472.18</v>
      </c>
      <c r="U23" s="1702">
        <v>0</v>
      </c>
      <c r="V23" s="1703">
        <v>0</v>
      </c>
      <c r="W23" s="1704">
        <v>0</v>
      </c>
      <c r="X23" s="1702">
        <v>9788</v>
      </c>
      <c r="Y23" s="1703">
        <f>1560.1+2115.4</f>
        <v>3675.5</v>
      </c>
      <c r="Z23" s="1704">
        <f>2115.33+1529.59</f>
        <v>3644.92</v>
      </c>
      <c r="AA23" s="1702">
        <f t="shared" si="0"/>
        <v>22513</v>
      </c>
      <c r="AB23" s="1703">
        <f t="shared" si="1"/>
        <v>13585.84</v>
      </c>
      <c r="AC23" s="1704">
        <f t="shared" si="2"/>
        <v>13554.28</v>
      </c>
      <c r="AD23" s="1706">
        <f t="shared" si="3"/>
        <v>0.9976769931045854</v>
      </c>
    </row>
    <row r="24" spans="1:30" ht="24.75" customHeight="1">
      <c r="A24" s="1731" t="s">
        <v>2724</v>
      </c>
      <c r="B24" s="1708">
        <v>0</v>
      </c>
      <c r="C24" s="1709">
        <v>0</v>
      </c>
      <c r="D24" s="1710">
        <v>0</v>
      </c>
      <c r="E24" s="1708">
        <v>0</v>
      </c>
      <c r="F24" s="1709">
        <v>0</v>
      </c>
      <c r="G24" s="1710">
        <v>0</v>
      </c>
      <c r="H24" s="1708">
        <v>3865</v>
      </c>
      <c r="I24" s="1709">
        <v>3244</v>
      </c>
      <c r="J24" s="1710">
        <v>3243.1</v>
      </c>
      <c r="K24" s="1708">
        <v>126</v>
      </c>
      <c r="L24" s="1709">
        <v>219.8</v>
      </c>
      <c r="M24" s="1710">
        <v>219.61</v>
      </c>
      <c r="N24" s="1708">
        <v>243</v>
      </c>
      <c r="O24" s="1709">
        <v>100.14</v>
      </c>
      <c r="P24" s="1711">
        <v>100.13</v>
      </c>
      <c r="Q24" s="1731" t="s">
        <v>2724</v>
      </c>
      <c r="R24" s="1708">
        <v>2616</v>
      </c>
      <c r="S24" s="1709">
        <v>1689.31</v>
      </c>
      <c r="T24" s="1710">
        <v>1689.27</v>
      </c>
      <c r="U24" s="1708">
        <v>277</v>
      </c>
      <c r="V24" s="1709">
        <v>516.33</v>
      </c>
      <c r="W24" s="1710">
        <v>511.5</v>
      </c>
      <c r="X24" s="1708">
        <v>4538</v>
      </c>
      <c r="Y24" s="1709">
        <f>2332.11+445.27</f>
        <v>2777.38</v>
      </c>
      <c r="Z24" s="1710">
        <f>1089.58+2465.95</f>
        <v>3555.5299999999997</v>
      </c>
      <c r="AA24" s="1708">
        <f t="shared" si="0"/>
        <v>11665</v>
      </c>
      <c r="AB24" s="1709">
        <f t="shared" si="1"/>
        <v>8546.96</v>
      </c>
      <c r="AC24" s="1710">
        <f t="shared" si="2"/>
        <v>9319.14</v>
      </c>
      <c r="AD24" s="1712">
        <f t="shared" si="3"/>
        <v>1.0903455731628555</v>
      </c>
    </row>
    <row r="25" spans="1:30" ht="24.75" customHeight="1">
      <c r="A25" s="1731" t="s">
        <v>2725</v>
      </c>
      <c r="B25" s="1708">
        <v>0</v>
      </c>
      <c r="C25" s="1709">
        <v>0</v>
      </c>
      <c r="D25" s="1710">
        <v>0</v>
      </c>
      <c r="E25" s="1708">
        <v>0</v>
      </c>
      <c r="F25" s="1709">
        <v>0</v>
      </c>
      <c r="G25" s="1710">
        <v>0</v>
      </c>
      <c r="H25" s="1708">
        <v>2380</v>
      </c>
      <c r="I25" s="1709">
        <v>2128</v>
      </c>
      <c r="J25" s="1710">
        <v>2127.41</v>
      </c>
      <c r="K25" s="1708">
        <v>220</v>
      </c>
      <c r="L25" s="1709">
        <v>206</v>
      </c>
      <c r="M25" s="1710">
        <v>207.18</v>
      </c>
      <c r="N25" s="1708">
        <v>950</v>
      </c>
      <c r="O25" s="1709">
        <v>727</v>
      </c>
      <c r="P25" s="1711">
        <v>726.33</v>
      </c>
      <c r="Q25" s="1731" t="s">
        <v>2725</v>
      </c>
      <c r="R25" s="1708">
        <v>420</v>
      </c>
      <c r="S25" s="1709">
        <v>249</v>
      </c>
      <c r="T25" s="1710">
        <v>248.97</v>
      </c>
      <c r="U25" s="1708">
        <v>50</v>
      </c>
      <c r="V25" s="1709">
        <v>71</v>
      </c>
      <c r="W25" s="1710">
        <v>71</v>
      </c>
      <c r="X25" s="1708">
        <v>3303</v>
      </c>
      <c r="Y25" s="1709">
        <f>1671+1679</f>
        <v>3350</v>
      </c>
      <c r="Z25" s="1710">
        <f>1670.99+1678.85</f>
        <v>3349.84</v>
      </c>
      <c r="AA25" s="1708">
        <f t="shared" si="0"/>
        <v>7323</v>
      </c>
      <c r="AB25" s="1709">
        <f t="shared" si="1"/>
        <v>6731</v>
      </c>
      <c r="AC25" s="1710">
        <f t="shared" si="2"/>
        <v>6730.73</v>
      </c>
      <c r="AD25" s="1712">
        <f t="shared" si="3"/>
        <v>0.9999598870895854</v>
      </c>
    </row>
    <row r="26" spans="1:30" ht="24.75" customHeight="1">
      <c r="A26" s="1731" t="s">
        <v>2726</v>
      </c>
      <c r="B26" s="1708">
        <v>0</v>
      </c>
      <c r="C26" s="1709">
        <v>0</v>
      </c>
      <c r="D26" s="1710">
        <v>0</v>
      </c>
      <c r="E26" s="1708">
        <v>110</v>
      </c>
      <c r="F26" s="1709">
        <v>115</v>
      </c>
      <c r="G26" s="1710">
        <v>114.92</v>
      </c>
      <c r="H26" s="1708">
        <v>1575</v>
      </c>
      <c r="I26" s="1709">
        <v>1360</v>
      </c>
      <c r="J26" s="1710">
        <v>1357.39</v>
      </c>
      <c r="K26" s="1708">
        <v>212</v>
      </c>
      <c r="L26" s="1709">
        <v>164.54</v>
      </c>
      <c r="M26" s="1710">
        <v>163.31</v>
      </c>
      <c r="N26" s="1708">
        <v>840</v>
      </c>
      <c r="O26" s="1709">
        <v>423.74</v>
      </c>
      <c r="P26" s="1711">
        <v>423.65</v>
      </c>
      <c r="Q26" s="1731" t="s">
        <v>2726</v>
      </c>
      <c r="R26" s="1708">
        <v>1375</v>
      </c>
      <c r="S26" s="1709">
        <v>1010.3</v>
      </c>
      <c r="T26" s="1710">
        <v>1010.16</v>
      </c>
      <c r="U26" s="1708">
        <v>897</v>
      </c>
      <c r="V26" s="1709">
        <v>946.55</v>
      </c>
      <c r="W26" s="1710">
        <v>946.46</v>
      </c>
      <c r="X26" s="1708">
        <v>1538</v>
      </c>
      <c r="Y26" s="1709">
        <f>1467.97+605.13</f>
        <v>2073.1</v>
      </c>
      <c r="Z26" s="1710">
        <f>1467.74+604.87</f>
        <v>2072.61</v>
      </c>
      <c r="AA26" s="1708">
        <f t="shared" si="0"/>
        <v>6547</v>
      </c>
      <c r="AB26" s="1709">
        <f t="shared" si="1"/>
        <v>6093.23</v>
      </c>
      <c r="AC26" s="1710">
        <f t="shared" si="2"/>
        <v>6088.5</v>
      </c>
      <c r="AD26" s="1712">
        <f t="shared" si="3"/>
        <v>0.9992237286299713</v>
      </c>
    </row>
    <row r="27" spans="1:30" ht="24.75" customHeight="1">
      <c r="A27" s="1731" t="s">
        <v>2727</v>
      </c>
      <c r="B27" s="1708">
        <v>0</v>
      </c>
      <c r="C27" s="1709">
        <v>0</v>
      </c>
      <c r="D27" s="1710">
        <v>0</v>
      </c>
      <c r="E27" s="1708">
        <v>0</v>
      </c>
      <c r="F27" s="1709">
        <v>0</v>
      </c>
      <c r="G27" s="1710">
        <v>0</v>
      </c>
      <c r="H27" s="1708">
        <v>1500</v>
      </c>
      <c r="I27" s="1709">
        <v>1458</v>
      </c>
      <c r="J27" s="1710">
        <v>1458.02</v>
      </c>
      <c r="K27" s="1708">
        <v>200</v>
      </c>
      <c r="L27" s="1709">
        <v>200.6</v>
      </c>
      <c r="M27" s="1710">
        <v>200.6</v>
      </c>
      <c r="N27" s="1708">
        <v>970</v>
      </c>
      <c r="O27" s="1709">
        <v>1070.75</v>
      </c>
      <c r="P27" s="1711">
        <v>1070.75</v>
      </c>
      <c r="Q27" s="1731" t="s">
        <v>2727</v>
      </c>
      <c r="R27" s="1708">
        <v>1000</v>
      </c>
      <c r="S27" s="1709">
        <v>855.57</v>
      </c>
      <c r="T27" s="1710">
        <v>855.57</v>
      </c>
      <c r="U27" s="1708">
        <v>550</v>
      </c>
      <c r="V27" s="1709">
        <v>632.43</v>
      </c>
      <c r="W27" s="1710">
        <v>632.43</v>
      </c>
      <c r="X27" s="1708">
        <v>2691</v>
      </c>
      <c r="Y27" s="1709">
        <f>1274.73+1087.42</f>
        <v>2362.15</v>
      </c>
      <c r="Z27" s="1710">
        <f>1274.73+1087.41</f>
        <v>2362.1400000000003</v>
      </c>
      <c r="AA27" s="1708">
        <f t="shared" si="0"/>
        <v>6911</v>
      </c>
      <c r="AB27" s="1709">
        <f t="shared" si="1"/>
        <v>6579.5</v>
      </c>
      <c r="AC27" s="1710">
        <f t="shared" si="2"/>
        <v>6579.51</v>
      </c>
      <c r="AD27" s="1712">
        <f t="shared" si="3"/>
        <v>1.0000015198723307</v>
      </c>
    </row>
    <row r="28" spans="1:30" ht="24.75" customHeight="1">
      <c r="A28" s="1731" t="s">
        <v>2728</v>
      </c>
      <c r="B28" s="1708">
        <v>0</v>
      </c>
      <c r="C28" s="1709">
        <v>0</v>
      </c>
      <c r="D28" s="1710">
        <v>0</v>
      </c>
      <c r="E28" s="1708">
        <v>0</v>
      </c>
      <c r="F28" s="1709">
        <v>0</v>
      </c>
      <c r="G28" s="1710">
        <v>0</v>
      </c>
      <c r="H28" s="1708">
        <v>3660</v>
      </c>
      <c r="I28" s="1709">
        <v>3336</v>
      </c>
      <c r="J28" s="1710">
        <v>3332.67</v>
      </c>
      <c r="K28" s="1708">
        <v>210</v>
      </c>
      <c r="L28" s="1709">
        <v>262.47</v>
      </c>
      <c r="M28" s="1710">
        <v>262.46</v>
      </c>
      <c r="N28" s="1708">
        <v>620</v>
      </c>
      <c r="O28" s="1709">
        <v>560</v>
      </c>
      <c r="P28" s="1711">
        <v>555.44</v>
      </c>
      <c r="Q28" s="1731" t="s">
        <v>2728</v>
      </c>
      <c r="R28" s="1708">
        <v>590</v>
      </c>
      <c r="S28" s="1709">
        <v>435</v>
      </c>
      <c r="T28" s="1710">
        <v>434.98</v>
      </c>
      <c r="U28" s="1708">
        <v>2272</v>
      </c>
      <c r="V28" s="1709">
        <v>1628.5</v>
      </c>
      <c r="W28" s="1710">
        <v>1628.43</v>
      </c>
      <c r="X28" s="1708">
        <v>3330</v>
      </c>
      <c r="Y28" s="1709">
        <f>4452+880</f>
        <v>5332</v>
      </c>
      <c r="Z28" s="1710">
        <f>4451.58+879.93</f>
        <v>5331.51</v>
      </c>
      <c r="AA28" s="1708">
        <f t="shared" si="0"/>
        <v>10682</v>
      </c>
      <c r="AB28" s="1709">
        <f t="shared" si="1"/>
        <v>11553.970000000001</v>
      </c>
      <c r="AC28" s="1710">
        <f t="shared" si="2"/>
        <v>11545.49</v>
      </c>
      <c r="AD28" s="1712">
        <f t="shared" si="3"/>
        <v>0.9992660531401759</v>
      </c>
    </row>
    <row r="29" spans="1:30" ht="24.75" customHeight="1">
      <c r="A29" s="1731" t="s">
        <v>2729</v>
      </c>
      <c r="B29" s="1708">
        <v>0</v>
      </c>
      <c r="C29" s="1709">
        <v>0</v>
      </c>
      <c r="D29" s="1710">
        <v>0</v>
      </c>
      <c r="E29" s="1708">
        <v>0</v>
      </c>
      <c r="F29" s="1709">
        <v>0</v>
      </c>
      <c r="G29" s="1710">
        <v>0</v>
      </c>
      <c r="H29" s="1708">
        <v>3086</v>
      </c>
      <c r="I29" s="1709">
        <v>2715.07</v>
      </c>
      <c r="J29" s="1710">
        <v>2713.88</v>
      </c>
      <c r="K29" s="1708">
        <v>321</v>
      </c>
      <c r="L29" s="1709">
        <v>332.43</v>
      </c>
      <c r="M29" s="1710">
        <v>314.78</v>
      </c>
      <c r="N29" s="1708">
        <v>940</v>
      </c>
      <c r="O29" s="1709">
        <v>730.12</v>
      </c>
      <c r="P29" s="1711">
        <v>724.43</v>
      </c>
      <c r="Q29" s="1731" t="s">
        <v>2729</v>
      </c>
      <c r="R29" s="1708">
        <v>3079</v>
      </c>
      <c r="S29" s="1709">
        <v>2183.5</v>
      </c>
      <c r="T29" s="1710">
        <v>2172.44</v>
      </c>
      <c r="U29" s="1708">
        <v>7527</v>
      </c>
      <c r="V29" s="1709">
        <v>6512.62</v>
      </c>
      <c r="W29" s="1710">
        <v>6510.58</v>
      </c>
      <c r="X29" s="1708">
        <v>5107</v>
      </c>
      <c r="Y29" s="1709">
        <f>5259.35+1424.41</f>
        <v>6683.76</v>
      </c>
      <c r="Z29" s="1710">
        <f>1414.5+5259.19</f>
        <v>6673.69</v>
      </c>
      <c r="AA29" s="1708">
        <f t="shared" si="0"/>
        <v>20060</v>
      </c>
      <c r="AB29" s="1709">
        <f t="shared" si="1"/>
        <v>19157.5</v>
      </c>
      <c r="AC29" s="1710">
        <f t="shared" si="2"/>
        <v>19109.8</v>
      </c>
      <c r="AD29" s="1712">
        <f t="shared" si="3"/>
        <v>0.997510113532559</v>
      </c>
    </row>
    <row r="30" spans="1:30" ht="24.75" customHeight="1" thickBot="1">
      <c r="A30" s="1732" t="s">
        <v>2730</v>
      </c>
      <c r="B30" s="1713">
        <v>50</v>
      </c>
      <c r="C30" s="1714">
        <v>78</v>
      </c>
      <c r="D30" s="1715">
        <v>78.07</v>
      </c>
      <c r="E30" s="1713">
        <v>0</v>
      </c>
      <c r="F30" s="1714">
        <v>0</v>
      </c>
      <c r="G30" s="1715">
        <v>0</v>
      </c>
      <c r="H30" s="1713">
        <v>5203</v>
      </c>
      <c r="I30" s="1714">
        <v>3859</v>
      </c>
      <c r="J30" s="1715">
        <v>3858.22</v>
      </c>
      <c r="K30" s="1713">
        <v>576</v>
      </c>
      <c r="L30" s="1714">
        <v>278.03</v>
      </c>
      <c r="M30" s="1715">
        <v>278.02</v>
      </c>
      <c r="N30" s="1713">
        <v>1335</v>
      </c>
      <c r="O30" s="1714">
        <v>652.01</v>
      </c>
      <c r="P30" s="1716">
        <v>652</v>
      </c>
      <c r="Q30" s="1732" t="s">
        <v>2730</v>
      </c>
      <c r="R30" s="1713">
        <v>3132</v>
      </c>
      <c r="S30" s="1714">
        <v>1777.79</v>
      </c>
      <c r="T30" s="1715">
        <v>1777.78</v>
      </c>
      <c r="U30" s="1713">
        <v>3121</v>
      </c>
      <c r="V30" s="1714">
        <v>2831.62</v>
      </c>
      <c r="W30" s="1715">
        <v>2831.62</v>
      </c>
      <c r="X30" s="1713">
        <v>5903</v>
      </c>
      <c r="Y30" s="1714">
        <f>3457.5+3324.32</f>
        <v>6781.82</v>
      </c>
      <c r="Z30" s="1715">
        <f>3324.31+3457.5</f>
        <v>6781.8099999999995</v>
      </c>
      <c r="AA30" s="1713">
        <f t="shared" si="0"/>
        <v>19320</v>
      </c>
      <c r="AB30" s="1714">
        <f t="shared" si="1"/>
        <v>16258.27</v>
      </c>
      <c r="AC30" s="1715">
        <f t="shared" si="2"/>
        <v>16257.519999999999</v>
      </c>
      <c r="AD30" s="1717">
        <f t="shared" si="3"/>
        <v>0.9999538696306556</v>
      </c>
    </row>
    <row r="31" spans="1:30" ht="24.75" customHeight="1" thickBot="1" thickTop="1">
      <c r="A31" s="1718" t="s">
        <v>3143</v>
      </c>
      <c r="B31" s="1719">
        <f>SUM(B23:B30)</f>
        <v>650</v>
      </c>
      <c r="C31" s="1720">
        <f aca="true" t="shared" si="6" ref="C31:Z31">SUM(C23:C30)</f>
        <v>677</v>
      </c>
      <c r="D31" s="1721">
        <f t="shared" si="6"/>
        <v>676.6800000000001</v>
      </c>
      <c r="E31" s="1719">
        <f t="shared" si="6"/>
        <v>110</v>
      </c>
      <c r="F31" s="1720">
        <f t="shared" si="6"/>
        <v>115</v>
      </c>
      <c r="G31" s="1721">
        <f t="shared" si="6"/>
        <v>114.92</v>
      </c>
      <c r="H31" s="1719">
        <f t="shared" si="6"/>
        <v>29519</v>
      </c>
      <c r="I31" s="1720">
        <f t="shared" si="6"/>
        <v>24524.07</v>
      </c>
      <c r="J31" s="1721">
        <f t="shared" si="6"/>
        <v>24514.210000000003</v>
      </c>
      <c r="K31" s="1719">
        <f t="shared" si="6"/>
        <v>2140</v>
      </c>
      <c r="L31" s="1720">
        <f t="shared" si="6"/>
        <v>2078.9700000000003</v>
      </c>
      <c r="M31" s="1721">
        <f t="shared" si="6"/>
        <v>2061.01</v>
      </c>
      <c r="N31" s="1719">
        <f t="shared" si="6"/>
        <v>5898</v>
      </c>
      <c r="O31" s="1720">
        <f t="shared" si="6"/>
        <v>4263.76</v>
      </c>
      <c r="P31" s="1722">
        <f t="shared" si="6"/>
        <v>4252.73</v>
      </c>
      <c r="Q31" s="1718" t="s">
        <v>3143</v>
      </c>
      <c r="R31" s="1719">
        <f t="shared" si="6"/>
        <v>15812</v>
      </c>
      <c r="S31" s="1720">
        <f t="shared" si="6"/>
        <v>10672.71</v>
      </c>
      <c r="T31" s="1721">
        <f t="shared" si="6"/>
        <v>10661.35</v>
      </c>
      <c r="U31" s="1719">
        <f t="shared" si="6"/>
        <v>14694</v>
      </c>
      <c r="V31" s="1720">
        <f t="shared" si="6"/>
        <v>13139.05</v>
      </c>
      <c r="W31" s="1721">
        <f t="shared" si="6"/>
        <v>13132.02</v>
      </c>
      <c r="X31" s="1719">
        <f t="shared" si="6"/>
        <v>36198</v>
      </c>
      <c r="Y31" s="1720">
        <f t="shared" si="6"/>
        <v>33035.71</v>
      </c>
      <c r="Z31" s="1721">
        <f t="shared" si="6"/>
        <v>33772.05</v>
      </c>
      <c r="AA31" s="1719">
        <f t="shared" si="0"/>
        <v>105021</v>
      </c>
      <c r="AB31" s="1720">
        <f t="shared" si="1"/>
        <v>88506.26999999999</v>
      </c>
      <c r="AC31" s="1721">
        <f t="shared" si="2"/>
        <v>89184.97</v>
      </c>
      <c r="AD31" s="1723">
        <f t="shared" si="3"/>
        <v>1.0076683832682138</v>
      </c>
    </row>
    <row r="32" spans="1:30" ht="24.75" customHeight="1" thickTop="1">
      <c r="A32" s="1701" t="s">
        <v>2587</v>
      </c>
      <c r="B32" s="1702">
        <v>120</v>
      </c>
      <c r="C32" s="1703">
        <v>112.1</v>
      </c>
      <c r="D32" s="1704">
        <v>111.94</v>
      </c>
      <c r="E32" s="1702">
        <v>0</v>
      </c>
      <c r="F32" s="1703">
        <v>0</v>
      </c>
      <c r="G32" s="1704">
        <v>0</v>
      </c>
      <c r="H32" s="1702">
        <v>2600</v>
      </c>
      <c r="I32" s="1703">
        <v>2543</v>
      </c>
      <c r="J32" s="1704">
        <v>2543.22</v>
      </c>
      <c r="K32" s="1702">
        <v>3926</v>
      </c>
      <c r="L32" s="1703">
        <v>2129.3</v>
      </c>
      <c r="M32" s="1704">
        <v>2129.3</v>
      </c>
      <c r="N32" s="1702">
        <v>7900</v>
      </c>
      <c r="O32" s="1703">
        <v>7007.3</v>
      </c>
      <c r="P32" s="1705">
        <v>7007.22</v>
      </c>
      <c r="Q32" s="1701" t="s">
        <v>2587</v>
      </c>
      <c r="R32" s="1702">
        <v>350</v>
      </c>
      <c r="S32" s="1703">
        <v>275.7</v>
      </c>
      <c r="T32" s="1704">
        <v>275.7</v>
      </c>
      <c r="U32" s="1702">
        <v>155</v>
      </c>
      <c r="V32" s="1703">
        <v>90</v>
      </c>
      <c r="W32" s="1704">
        <v>90</v>
      </c>
      <c r="X32" s="1702">
        <v>6136</v>
      </c>
      <c r="Y32" s="1703">
        <f>14450.6+3002</f>
        <v>17452.6</v>
      </c>
      <c r="Z32" s="1704">
        <f>14450.53+3001.93</f>
        <v>17452.46</v>
      </c>
      <c r="AA32" s="1702">
        <f t="shared" si="0"/>
        <v>21187</v>
      </c>
      <c r="AB32" s="1703">
        <f t="shared" si="1"/>
        <v>29610</v>
      </c>
      <c r="AC32" s="1704">
        <f t="shared" si="2"/>
        <v>29609.84</v>
      </c>
      <c r="AD32" s="1706">
        <f t="shared" si="3"/>
        <v>0.9999945964201283</v>
      </c>
    </row>
    <row r="33" spans="1:30" ht="24.75" customHeight="1">
      <c r="A33" s="1707" t="s">
        <v>2588</v>
      </c>
      <c r="B33" s="1708">
        <v>7</v>
      </c>
      <c r="C33" s="1709">
        <v>0</v>
      </c>
      <c r="D33" s="1710">
        <v>0</v>
      </c>
      <c r="E33" s="1708">
        <v>0</v>
      </c>
      <c r="F33" s="1709">
        <v>0</v>
      </c>
      <c r="G33" s="1710">
        <v>0</v>
      </c>
      <c r="H33" s="1708">
        <v>2080</v>
      </c>
      <c r="I33" s="1709">
        <v>1778</v>
      </c>
      <c r="J33" s="1710">
        <v>1777.3</v>
      </c>
      <c r="K33" s="1708">
        <v>2585</v>
      </c>
      <c r="L33" s="1709">
        <v>1783.61</v>
      </c>
      <c r="M33" s="1710">
        <v>1783.61</v>
      </c>
      <c r="N33" s="1708">
        <v>0</v>
      </c>
      <c r="O33" s="1709">
        <v>0</v>
      </c>
      <c r="P33" s="1711">
        <v>0</v>
      </c>
      <c r="Q33" s="1707" t="s">
        <v>2588</v>
      </c>
      <c r="R33" s="1708">
        <v>4790</v>
      </c>
      <c r="S33" s="1709">
        <v>4708.85</v>
      </c>
      <c r="T33" s="1710">
        <v>4708.84</v>
      </c>
      <c r="U33" s="1708">
        <v>18</v>
      </c>
      <c r="V33" s="1709">
        <v>17.2</v>
      </c>
      <c r="W33" s="1710">
        <v>17.2</v>
      </c>
      <c r="X33" s="1708">
        <v>3209</v>
      </c>
      <c r="Y33" s="1709">
        <v>6451.1</v>
      </c>
      <c r="Z33" s="1710">
        <v>6512.47</v>
      </c>
      <c r="AA33" s="1708">
        <f t="shared" si="0"/>
        <v>12689</v>
      </c>
      <c r="AB33" s="1709">
        <f t="shared" si="1"/>
        <v>14738.76</v>
      </c>
      <c r="AC33" s="1710">
        <f t="shared" si="2"/>
        <v>14799.420000000002</v>
      </c>
      <c r="AD33" s="1712">
        <f t="shared" si="3"/>
        <v>1.0041156786595347</v>
      </c>
    </row>
    <row r="34" spans="1:30" ht="24.75" customHeight="1">
      <c r="A34" s="1707" t="s">
        <v>2589</v>
      </c>
      <c r="B34" s="1708">
        <v>0</v>
      </c>
      <c r="C34" s="1709">
        <v>0</v>
      </c>
      <c r="D34" s="1710">
        <v>0</v>
      </c>
      <c r="E34" s="1708">
        <v>0</v>
      </c>
      <c r="F34" s="1709">
        <v>0</v>
      </c>
      <c r="G34" s="1710">
        <v>0</v>
      </c>
      <c r="H34" s="1708">
        <v>2840</v>
      </c>
      <c r="I34" s="1709">
        <v>2535</v>
      </c>
      <c r="J34" s="1710">
        <v>2534.38</v>
      </c>
      <c r="K34" s="1708">
        <v>2535</v>
      </c>
      <c r="L34" s="1709">
        <v>2366.22</v>
      </c>
      <c r="M34" s="1710">
        <v>2366.22</v>
      </c>
      <c r="N34" s="1708">
        <v>0</v>
      </c>
      <c r="O34" s="1709">
        <v>0</v>
      </c>
      <c r="P34" s="1711">
        <v>0</v>
      </c>
      <c r="Q34" s="1707" t="s">
        <v>2589</v>
      </c>
      <c r="R34" s="1708">
        <v>8331</v>
      </c>
      <c r="S34" s="1709">
        <v>5859.5</v>
      </c>
      <c r="T34" s="1710">
        <v>5859.5</v>
      </c>
      <c r="U34" s="1708">
        <v>120</v>
      </c>
      <c r="V34" s="1709">
        <v>119</v>
      </c>
      <c r="W34" s="1710">
        <v>119</v>
      </c>
      <c r="X34" s="1708">
        <v>7316</v>
      </c>
      <c r="Y34" s="1709">
        <f>5817.3+2950.3</f>
        <v>8767.6</v>
      </c>
      <c r="Z34" s="1710">
        <f>5817.29+2950.3</f>
        <v>8767.59</v>
      </c>
      <c r="AA34" s="1708">
        <f t="shared" si="0"/>
        <v>21142</v>
      </c>
      <c r="AB34" s="1709">
        <f t="shared" si="1"/>
        <v>19647.32</v>
      </c>
      <c r="AC34" s="1710">
        <f t="shared" si="2"/>
        <v>19646.690000000002</v>
      </c>
      <c r="AD34" s="1712">
        <f t="shared" si="3"/>
        <v>0.9999679345579958</v>
      </c>
    </row>
    <row r="35" spans="1:30" ht="24.75" customHeight="1">
      <c r="A35" s="1707" t="s">
        <v>2590</v>
      </c>
      <c r="B35" s="1708">
        <v>0</v>
      </c>
      <c r="C35" s="1709">
        <v>195</v>
      </c>
      <c r="D35" s="1710">
        <v>194.89</v>
      </c>
      <c r="E35" s="1708">
        <v>0</v>
      </c>
      <c r="F35" s="1709">
        <v>0</v>
      </c>
      <c r="G35" s="1710">
        <v>0</v>
      </c>
      <c r="H35" s="1708">
        <v>1030</v>
      </c>
      <c r="I35" s="1709">
        <v>755</v>
      </c>
      <c r="J35" s="1710">
        <v>754.7</v>
      </c>
      <c r="K35" s="1708">
        <v>230</v>
      </c>
      <c r="L35" s="1709">
        <v>188.25</v>
      </c>
      <c r="M35" s="1710">
        <v>188.24</v>
      </c>
      <c r="N35" s="1708">
        <v>0</v>
      </c>
      <c r="O35" s="1709">
        <v>0</v>
      </c>
      <c r="P35" s="1711">
        <v>0</v>
      </c>
      <c r="Q35" s="1707" t="s">
        <v>2590</v>
      </c>
      <c r="R35" s="1708">
        <v>1650</v>
      </c>
      <c r="S35" s="1709">
        <v>998.65</v>
      </c>
      <c r="T35" s="1710">
        <v>998.64</v>
      </c>
      <c r="U35" s="1708">
        <v>195</v>
      </c>
      <c r="V35" s="1709">
        <v>20</v>
      </c>
      <c r="W35" s="1710">
        <v>20.03</v>
      </c>
      <c r="X35" s="1708">
        <v>1066</v>
      </c>
      <c r="Y35" s="1709">
        <f>2728.93+135.54</f>
        <v>2864.47</v>
      </c>
      <c r="Z35" s="1710">
        <f>2728.93+135.54</f>
        <v>2864.47</v>
      </c>
      <c r="AA35" s="1708">
        <f t="shared" si="0"/>
        <v>4171</v>
      </c>
      <c r="AB35" s="1709">
        <f t="shared" si="1"/>
        <v>5021.37</v>
      </c>
      <c r="AC35" s="1710">
        <f t="shared" si="2"/>
        <v>5020.969999999999</v>
      </c>
      <c r="AD35" s="1712">
        <f t="shared" si="3"/>
        <v>0.9999203404648531</v>
      </c>
    </row>
    <row r="36" spans="1:30" ht="24.75" customHeight="1">
      <c r="A36" s="1707" t="s">
        <v>2591</v>
      </c>
      <c r="B36" s="1708">
        <v>0</v>
      </c>
      <c r="C36" s="1709">
        <v>0</v>
      </c>
      <c r="D36" s="1710">
        <v>0</v>
      </c>
      <c r="E36" s="1708">
        <v>0</v>
      </c>
      <c r="F36" s="1709">
        <v>0</v>
      </c>
      <c r="G36" s="1710">
        <v>0</v>
      </c>
      <c r="H36" s="1708">
        <v>1627</v>
      </c>
      <c r="I36" s="1709">
        <v>981</v>
      </c>
      <c r="J36" s="1710">
        <v>979.96</v>
      </c>
      <c r="K36" s="1708">
        <v>717</v>
      </c>
      <c r="L36" s="1709">
        <v>461</v>
      </c>
      <c r="M36" s="1710">
        <v>459.74</v>
      </c>
      <c r="N36" s="1708">
        <v>3609</v>
      </c>
      <c r="O36" s="1709">
        <v>2308</v>
      </c>
      <c r="P36" s="1711">
        <v>2222.18</v>
      </c>
      <c r="Q36" s="1707" t="s">
        <v>2591</v>
      </c>
      <c r="R36" s="1708">
        <v>83</v>
      </c>
      <c r="S36" s="1709">
        <v>44</v>
      </c>
      <c r="T36" s="1710">
        <v>43.17</v>
      </c>
      <c r="U36" s="1708">
        <v>35</v>
      </c>
      <c r="V36" s="1709">
        <v>23</v>
      </c>
      <c r="W36" s="1710">
        <v>22.04</v>
      </c>
      <c r="X36" s="1708">
        <v>1048</v>
      </c>
      <c r="Y36" s="1709">
        <f>4196+351</f>
        <v>4547</v>
      </c>
      <c r="Z36" s="1710">
        <f>3416.67+169.96</f>
        <v>3586.63</v>
      </c>
      <c r="AA36" s="1708">
        <f t="shared" si="0"/>
        <v>7119</v>
      </c>
      <c r="AB36" s="1709">
        <f t="shared" si="1"/>
        <v>8364</v>
      </c>
      <c r="AC36" s="1710">
        <f t="shared" si="2"/>
        <v>7313.72</v>
      </c>
      <c r="AD36" s="1712">
        <f t="shared" si="3"/>
        <v>0.8744285031085606</v>
      </c>
    </row>
    <row r="37" spans="1:30" ht="24.75" customHeight="1" thickBot="1">
      <c r="A37" s="1724" t="s">
        <v>2592</v>
      </c>
      <c r="B37" s="1713">
        <v>0</v>
      </c>
      <c r="C37" s="1714">
        <v>0</v>
      </c>
      <c r="D37" s="1715">
        <v>0</v>
      </c>
      <c r="E37" s="1713">
        <v>0</v>
      </c>
      <c r="F37" s="1714">
        <v>0</v>
      </c>
      <c r="G37" s="1715">
        <v>0</v>
      </c>
      <c r="H37" s="1713">
        <v>0</v>
      </c>
      <c r="I37" s="1714">
        <v>0</v>
      </c>
      <c r="J37" s="1715">
        <v>0</v>
      </c>
      <c r="K37" s="1713">
        <v>0</v>
      </c>
      <c r="L37" s="1714">
        <v>0</v>
      </c>
      <c r="M37" s="1715">
        <v>0</v>
      </c>
      <c r="N37" s="1713">
        <v>0</v>
      </c>
      <c r="O37" s="1714">
        <v>0</v>
      </c>
      <c r="P37" s="1716">
        <v>0</v>
      </c>
      <c r="Q37" s="1724" t="s">
        <v>2592</v>
      </c>
      <c r="R37" s="1713">
        <v>0</v>
      </c>
      <c r="S37" s="1714">
        <v>0</v>
      </c>
      <c r="T37" s="1715">
        <v>0</v>
      </c>
      <c r="U37" s="1713">
        <v>0</v>
      </c>
      <c r="V37" s="1714">
        <v>0</v>
      </c>
      <c r="W37" s="1715">
        <v>0</v>
      </c>
      <c r="X37" s="1713">
        <v>0</v>
      </c>
      <c r="Y37" s="1714">
        <v>0</v>
      </c>
      <c r="Z37" s="1715">
        <v>0</v>
      </c>
      <c r="AA37" s="1713">
        <f t="shared" si="0"/>
        <v>0</v>
      </c>
      <c r="AB37" s="1714">
        <f t="shared" si="1"/>
        <v>0</v>
      </c>
      <c r="AC37" s="1715">
        <f t="shared" si="2"/>
        <v>0</v>
      </c>
      <c r="AD37" s="1717">
        <v>0</v>
      </c>
    </row>
    <row r="38" spans="1:30" ht="24.75" customHeight="1" thickBot="1" thickTop="1">
      <c r="A38" s="1718" t="s">
        <v>3146</v>
      </c>
      <c r="B38" s="1719">
        <f>SUM(B32:B37)</f>
        <v>127</v>
      </c>
      <c r="C38" s="1720">
        <f aca="true" t="shared" si="7" ref="C38:Z38">SUM(C32:C37)</f>
        <v>307.1</v>
      </c>
      <c r="D38" s="1721">
        <f t="shared" si="7"/>
        <v>306.83</v>
      </c>
      <c r="E38" s="1719">
        <f t="shared" si="7"/>
        <v>0</v>
      </c>
      <c r="F38" s="1720">
        <f t="shared" si="7"/>
        <v>0</v>
      </c>
      <c r="G38" s="1721">
        <f t="shared" si="7"/>
        <v>0</v>
      </c>
      <c r="H38" s="1719">
        <f t="shared" si="7"/>
        <v>10177</v>
      </c>
      <c r="I38" s="1720">
        <f t="shared" si="7"/>
        <v>8592</v>
      </c>
      <c r="J38" s="1721">
        <f t="shared" si="7"/>
        <v>8589.56</v>
      </c>
      <c r="K38" s="1719">
        <f t="shared" si="7"/>
        <v>9993</v>
      </c>
      <c r="L38" s="1720">
        <f t="shared" si="7"/>
        <v>6928.379999999999</v>
      </c>
      <c r="M38" s="1721">
        <f t="shared" si="7"/>
        <v>6927.109999999999</v>
      </c>
      <c r="N38" s="1719">
        <f t="shared" si="7"/>
        <v>11509</v>
      </c>
      <c r="O38" s="1720">
        <f t="shared" si="7"/>
        <v>9315.3</v>
      </c>
      <c r="P38" s="1722">
        <f t="shared" si="7"/>
        <v>9229.4</v>
      </c>
      <c r="Q38" s="1718" t="s">
        <v>3146</v>
      </c>
      <c r="R38" s="1719">
        <f t="shared" si="7"/>
        <v>15204</v>
      </c>
      <c r="S38" s="1720">
        <f t="shared" si="7"/>
        <v>11886.699999999999</v>
      </c>
      <c r="T38" s="1721">
        <f t="shared" si="7"/>
        <v>11885.85</v>
      </c>
      <c r="U38" s="1719">
        <f t="shared" si="7"/>
        <v>523</v>
      </c>
      <c r="V38" s="1720">
        <f t="shared" si="7"/>
        <v>269.2</v>
      </c>
      <c r="W38" s="1721">
        <f t="shared" si="7"/>
        <v>268.27</v>
      </c>
      <c r="X38" s="1719">
        <f t="shared" si="7"/>
        <v>18775</v>
      </c>
      <c r="Y38" s="1720">
        <f t="shared" si="7"/>
        <v>40082.77</v>
      </c>
      <c r="Z38" s="1721">
        <f t="shared" si="7"/>
        <v>39183.619999999995</v>
      </c>
      <c r="AA38" s="1719">
        <f t="shared" si="0"/>
        <v>66308</v>
      </c>
      <c r="AB38" s="1720">
        <f t="shared" si="1"/>
        <v>77381.44999999998</v>
      </c>
      <c r="AC38" s="1721">
        <f t="shared" si="2"/>
        <v>76390.63999999998</v>
      </c>
      <c r="AD38" s="1723">
        <f t="shared" si="3"/>
        <v>0.9871957684949042</v>
      </c>
    </row>
    <row r="39" spans="1:30" ht="24.75" customHeight="1" thickBot="1" thickTop="1">
      <c r="A39" s="1733" t="s">
        <v>2593</v>
      </c>
      <c r="B39" s="1719">
        <v>0</v>
      </c>
      <c r="C39" s="1720">
        <v>0</v>
      </c>
      <c r="D39" s="1734">
        <v>0</v>
      </c>
      <c r="E39" s="1719">
        <v>1500</v>
      </c>
      <c r="F39" s="1720">
        <v>600</v>
      </c>
      <c r="G39" s="1734">
        <v>599.99</v>
      </c>
      <c r="H39" s="1719">
        <v>8200</v>
      </c>
      <c r="I39" s="1720">
        <v>6980</v>
      </c>
      <c r="J39" s="1734">
        <v>6979.12</v>
      </c>
      <c r="K39" s="1719">
        <v>4800</v>
      </c>
      <c r="L39" s="1720">
        <v>4305.28</v>
      </c>
      <c r="M39" s="1734">
        <v>4305.28</v>
      </c>
      <c r="N39" s="1719">
        <v>0</v>
      </c>
      <c r="O39" s="1720">
        <v>0</v>
      </c>
      <c r="P39" s="1722">
        <v>0</v>
      </c>
      <c r="Q39" s="1733" t="s">
        <v>2593</v>
      </c>
      <c r="R39" s="1719">
        <v>16700</v>
      </c>
      <c r="S39" s="1720">
        <v>12654.3</v>
      </c>
      <c r="T39" s="1734">
        <v>12654.25</v>
      </c>
      <c r="U39" s="1719">
        <v>0</v>
      </c>
      <c r="V39" s="1720">
        <v>29.88</v>
      </c>
      <c r="W39" s="1734">
        <v>29.88</v>
      </c>
      <c r="X39" s="1719">
        <v>13918</v>
      </c>
      <c r="Y39" s="1720">
        <f>5761.97+9200.36</f>
        <v>14962.330000000002</v>
      </c>
      <c r="Z39" s="1734">
        <f>5164.7+9181.93</f>
        <v>14346.630000000001</v>
      </c>
      <c r="AA39" s="1719">
        <f t="shared" si="0"/>
        <v>45118</v>
      </c>
      <c r="AB39" s="1720">
        <f t="shared" si="1"/>
        <v>39531.79</v>
      </c>
      <c r="AC39" s="1734">
        <f t="shared" si="2"/>
        <v>38915.15</v>
      </c>
      <c r="AD39" s="1723">
        <f t="shared" si="3"/>
        <v>0.9844014146589365</v>
      </c>
    </row>
    <row r="40" spans="1:30" ht="24.75" customHeight="1" thickBot="1" thickTop="1">
      <c r="A40" s="1718" t="s">
        <v>2594</v>
      </c>
      <c r="B40" s="1719">
        <f>B38+B39</f>
        <v>127</v>
      </c>
      <c r="C40" s="1720">
        <f aca="true" t="shared" si="8" ref="C40:Z40">C38+C39</f>
        <v>307.1</v>
      </c>
      <c r="D40" s="1721">
        <f t="shared" si="8"/>
        <v>306.83</v>
      </c>
      <c r="E40" s="1719">
        <f t="shared" si="8"/>
        <v>1500</v>
      </c>
      <c r="F40" s="1720">
        <f t="shared" si="8"/>
        <v>600</v>
      </c>
      <c r="G40" s="1721">
        <f t="shared" si="8"/>
        <v>599.99</v>
      </c>
      <c r="H40" s="1719">
        <f t="shared" si="8"/>
        <v>18377</v>
      </c>
      <c r="I40" s="1720">
        <f t="shared" si="8"/>
        <v>15572</v>
      </c>
      <c r="J40" s="1721">
        <f t="shared" si="8"/>
        <v>15568.68</v>
      </c>
      <c r="K40" s="1719">
        <f t="shared" si="8"/>
        <v>14793</v>
      </c>
      <c r="L40" s="1720">
        <f t="shared" si="8"/>
        <v>11233.66</v>
      </c>
      <c r="M40" s="1721">
        <f t="shared" si="8"/>
        <v>11232.39</v>
      </c>
      <c r="N40" s="1719">
        <f t="shared" si="8"/>
        <v>11509</v>
      </c>
      <c r="O40" s="1720">
        <f t="shared" si="8"/>
        <v>9315.3</v>
      </c>
      <c r="P40" s="1722">
        <f t="shared" si="8"/>
        <v>9229.4</v>
      </c>
      <c r="Q40" s="1718" t="s">
        <v>2594</v>
      </c>
      <c r="R40" s="1719">
        <f t="shared" si="8"/>
        <v>31904</v>
      </c>
      <c r="S40" s="1720">
        <f t="shared" si="8"/>
        <v>24541</v>
      </c>
      <c r="T40" s="1721">
        <f t="shared" si="8"/>
        <v>24540.1</v>
      </c>
      <c r="U40" s="1719">
        <f t="shared" si="8"/>
        <v>523</v>
      </c>
      <c r="V40" s="1720">
        <f t="shared" si="8"/>
        <v>299.08</v>
      </c>
      <c r="W40" s="1721">
        <f t="shared" si="8"/>
        <v>298.15</v>
      </c>
      <c r="X40" s="1719">
        <f t="shared" si="8"/>
        <v>32693</v>
      </c>
      <c r="Y40" s="1720">
        <f t="shared" si="8"/>
        <v>55045.1</v>
      </c>
      <c r="Z40" s="1721">
        <f t="shared" si="8"/>
        <v>53530.25</v>
      </c>
      <c r="AA40" s="1719">
        <f t="shared" si="0"/>
        <v>111426</v>
      </c>
      <c r="AB40" s="1720">
        <f t="shared" si="1"/>
        <v>116913.23999999999</v>
      </c>
      <c r="AC40" s="1721">
        <f t="shared" si="2"/>
        <v>115305.79000000001</v>
      </c>
      <c r="AD40" s="1723">
        <f t="shared" si="3"/>
        <v>0.9862509156362446</v>
      </c>
    </row>
    <row r="41" spans="1:30" ht="24.75" customHeight="1" thickBot="1" thickTop="1">
      <c r="A41" s="1733" t="s">
        <v>3191</v>
      </c>
      <c r="B41" s="1719">
        <v>0</v>
      </c>
      <c r="C41" s="1720">
        <v>0</v>
      </c>
      <c r="D41" s="1734">
        <v>0</v>
      </c>
      <c r="E41" s="1719">
        <v>0</v>
      </c>
      <c r="F41" s="1720">
        <v>0</v>
      </c>
      <c r="G41" s="1734">
        <v>0</v>
      </c>
      <c r="H41" s="1719">
        <v>230</v>
      </c>
      <c r="I41" s="1720">
        <v>193</v>
      </c>
      <c r="J41" s="1734">
        <v>192.12</v>
      </c>
      <c r="K41" s="1719">
        <v>140</v>
      </c>
      <c r="L41" s="1720">
        <v>88.8</v>
      </c>
      <c r="M41" s="1734">
        <v>88.79</v>
      </c>
      <c r="N41" s="1719">
        <v>750</v>
      </c>
      <c r="O41" s="1720">
        <v>779.9</v>
      </c>
      <c r="P41" s="1722">
        <v>779.88</v>
      </c>
      <c r="Q41" s="1733" t="s">
        <v>3191</v>
      </c>
      <c r="R41" s="1719">
        <v>3</v>
      </c>
      <c r="S41" s="1720">
        <v>0</v>
      </c>
      <c r="T41" s="1734">
        <v>0</v>
      </c>
      <c r="U41" s="1719">
        <v>0</v>
      </c>
      <c r="V41" s="1720">
        <v>0</v>
      </c>
      <c r="W41" s="1734">
        <v>0</v>
      </c>
      <c r="X41" s="1719">
        <v>438</v>
      </c>
      <c r="Y41" s="1720">
        <f>97.5+1549</f>
        <v>1646.5</v>
      </c>
      <c r="Z41" s="1734">
        <f>1548.87+97.46</f>
        <v>1646.33</v>
      </c>
      <c r="AA41" s="1719">
        <f aca="true" t="shared" si="9" ref="AA41:AA68">B41+E41+H41+K41+N41+R41+U41+X41</f>
        <v>1561</v>
      </c>
      <c r="AB41" s="1720">
        <f aca="true" t="shared" si="10" ref="AB41:AB68">C41+F41+I41+L41+O41+S41+V41+Y41</f>
        <v>2708.2</v>
      </c>
      <c r="AC41" s="1734">
        <f aca="true" t="shared" si="11" ref="AC41:AC68">D41+G41+J41+M41+P41+T41+W41+Z41</f>
        <v>2707.12</v>
      </c>
      <c r="AD41" s="1723">
        <f t="shared" si="3"/>
        <v>0.9996012111365483</v>
      </c>
    </row>
    <row r="42" spans="1:30" ht="24.75" customHeight="1" thickBot="1" thickTop="1">
      <c r="A42" s="1718" t="s">
        <v>3192</v>
      </c>
      <c r="B42" s="1725">
        <f>B40+B41</f>
        <v>127</v>
      </c>
      <c r="C42" s="1726">
        <f aca="true" t="shared" si="12" ref="C42:Z42">C40+C41</f>
        <v>307.1</v>
      </c>
      <c r="D42" s="1735">
        <f t="shared" si="12"/>
        <v>306.83</v>
      </c>
      <c r="E42" s="1725">
        <f t="shared" si="12"/>
        <v>1500</v>
      </c>
      <c r="F42" s="1726">
        <f t="shared" si="12"/>
        <v>600</v>
      </c>
      <c r="G42" s="1735">
        <f t="shared" si="12"/>
        <v>599.99</v>
      </c>
      <c r="H42" s="1725">
        <f t="shared" si="12"/>
        <v>18607</v>
      </c>
      <c r="I42" s="1726">
        <f t="shared" si="12"/>
        <v>15765</v>
      </c>
      <c r="J42" s="1735">
        <f t="shared" si="12"/>
        <v>15760.800000000001</v>
      </c>
      <c r="K42" s="1725">
        <f t="shared" si="12"/>
        <v>14933</v>
      </c>
      <c r="L42" s="1726">
        <f t="shared" si="12"/>
        <v>11322.46</v>
      </c>
      <c r="M42" s="1735">
        <f t="shared" si="12"/>
        <v>11321.18</v>
      </c>
      <c r="N42" s="1725">
        <f t="shared" si="12"/>
        <v>12259</v>
      </c>
      <c r="O42" s="1726">
        <f t="shared" si="12"/>
        <v>10095.199999999999</v>
      </c>
      <c r="P42" s="1728">
        <f t="shared" si="12"/>
        <v>10009.279999999999</v>
      </c>
      <c r="Q42" s="1718" t="s">
        <v>3192</v>
      </c>
      <c r="R42" s="1725">
        <f t="shared" si="12"/>
        <v>31907</v>
      </c>
      <c r="S42" s="1726">
        <f t="shared" si="12"/>
        <v>24541</v>
      </c>
      <c r="T42" s="1735">
        <f t="shared" si="12"/>
        <v>24540.1</v>
      </c>
      <c r="U42" s="1725">
        <f t="shared" si="12"/>
        <v>523</v>
      </c>
      <c r="V42" s="1726">
        <f t="shared" si="12"/>
        <v>299.08</v>
      </c>
      <c r="W42" s="1735">
        <f t="shared" si="12"/>
        <v>298.15</v>
      </c>
      <c r="X42" s="1725">
        <f t="shared" si="12"/>
        <v>33131</v>
      </c>
      <c r="Y42" s="1726">
        <f t="shared" si="12"/>
        <v>56691.6</v>
      </c>
      <c r="Z42" s="1735">
        <f t="shared" si="12"/>
        <v>55176.58</v>
      </c>
      <c r="AA42" s="1725">
        <f t="shared" si="9"/>
        <v>112987</v>
      </c>
      <c r="AB42" s="1726">
        <f t="shared" si="10"/>
        <v>119621.44</v>
      </c>
      <c r="AC42" s="1735">
        <f t="shared" si="11"/>
        <v>118012.91</v>
      </c>
      <c r="AD42" s="1729">
        <f t="shared" si="3"/>
        <v>0.9865531630450194</v>
      </c>
    </row>
    <row r="43" spans="1:30" ht="24.75" customHeight="1" thickTop="1">
      <c r="A43" s="1701" t="s">
        <v>3193</v>
      </c>
      <c r="B43" s="1702">
        <v>0</v>
      </c>
      <c r="C43" s="1703">
        <v>0</v>
      </c>
      <c r="D43" s="1704">
        <v>0</v>
      </c>
      <c r="E43" s="1702">
        <v>0</v>
      </c>
      <c r="F43" s="1703">
        <v>0</v>
      </c>
      <c r="G43" s="1704">
        <v>0</v>
      </c>
      <c r="H43" s="1702">
        <v>6100</v>
      </c>
      <c r="I43" s="1703">
        <v>4817</v>
      </c>
      <c r="J43" s="1704">
        <v>4677.74</v>
      </c>
      <c r="K43" s="1702">
        <v>1593</v>
      </c>
      <c r="L43" s="1703">
        <v>1271.3</v>
      </c>
      <c r="M43" s="1704">
        <v>1271.29</v>
      </c>
      <c r="N43" s="1702">
        <v>6600</v>
      </c>
      <c r="O43" s="1703">
        <v>6201.3</v>
      </c>
      <c r="P43" s="1705">
        <v>6201.22</v>
      </c>
      <c r="Q43" s="1701" t="s">
        <v>3193</v>
      </c>
      <c r="R43" s="1702">
        <v>1600</v>
      </c>
      <c r="S43" s="1703">
        <v>1218.44</v>
      </c>
      <c r="T43" s="1704">
        <v>1218.44</v>
      </c>
      <c r="U43" s="1702">
        <v>1890</v>
      </c>
      <c r="V43" s="1703">
        <v>1583.24</v>
      </c>
      <c r="W43" s="1704">
        <v>1583.24</v>
      </c>
      <c r="X43" s="1702">
        <v>350</v>
      </c>
      <c r="Y43" s="1703">
        <f>8827.17+5515.28</f>
        <v>14342.45</v>
      </c>
      <c r="Z43" s="1704">
        <f>8827.16+5515.27</f>
        <v>14342.43</v>
      </c>
      <c r="AA43" s="1702">
        <f t="shared" si="9"/>
        <v>18133</v>
      </c>
      <c r="AB43" s="1703">
        <f t="shared" si="10"/>
        <v>29433.730000000003</v>
      </c>
      <c r="AC43" s="1704">
        <f t="shared" si="11"/>
        <v>29294.36</v>
      </c>
      <c r="AD43" s="1706">
        <f t="shared" si="3"/>
        <v>0.9952649562253917</v>
      </c>
    </row>
    <row r="44" spans="1:30" ht="24.75" customHeight="1">
      <c r="A44" s="1707" t="s">
        <v>3194</v>
      </c>
      <c r="B44" s="1708">
        <v>175</v>
      </c>
      <c r="C44" s="1709">
        <v>82</v>
      </c>
      <c r="D44" s="1710">
        <v>81.71</v>
      </c>
      <c r="E44" s="1708">
        <v>300</v>
      </c>
      <c r="F44" s="1709">
        <v>211</v>
      </c>
      <c r="G44" s="1710">
        <v>211.25</v>
      </c>
      <c r="H44" s="1708">
        <v>5991</v>
      </c>
      <c r="I44" s="1709">
        <v>4801</v>
      </c>
      <c r="J44" s="1710">
        <v>4824.21</v>
      </c>
      <c r="K44" s="1708">
        <v>1759</v>
      </c>
      <c r="L44" s="1709">
        <v>1539.1</v>
      </c>
      <c r="M44" s="1710">
        <v>1536.33</v>
      </c>
      <c r="N44" s="1708">
        <v>4252</v>
      </c>
      <c r="O44" s="1709">
        <v>3713.08</v>
      </c>
      <c r="P44" s="1711">
        <v>3713.07</v>
      </c>
      <c r="Q44" s="1707" t="s">
        <v>3194</v>
      </c>
      <c r="R44" s="1708">
        <v>5613</v>
      </c>
      <c r="S44" s="1709">
        <v>4941.11</v>
      </c>
      <c r="T44" s="1710">
        <v>4931.14</v>
      </c>
      <c r="U44" s="1708">
        <v>103</v>
      </c>
      <c r="V44" s="1709">
        <v>126.5</v>
      </c>
      <c r="W44" s="1710">
        <v>126.41</v>
      </c>
      <c r="X44" s="1708">
        <v>6899</v>
      </c>
      <c r="Y44" s="1709">
        <f>2211+1802.59</f>
        <v>4013.59</v>
      </c>
      <c r="Z44" s="1710">
        <f>2210.84+1864.82</f>
        <v>4075.66</v>
      </c>
      <c r="AA44" s="1708">
        <f t="shared" si="9"/>
        <v>25092</v>
      </c>
      <c r="AB44" s="1709">
        <f t="shared" si="10"/>
        <v>19427.38</v>
      </c>
      <c r="AC44" s="1710">
        <f t="shared" si="11"/>
        <v>19499.78</v>
      </c>
      <c r="AD44" s="1712">
        <f t="shared" si="3"/>
        <v>1.0037266991225784</v>
      </c>
    </row>
    <row r="45" spans="1:30" ht="24.75" customHeight="1">
      <c r="A45" s="1707" t="s">
        <v>3195</v>
      </c>
      <c r="B45" s="1708">
        <v>120</v>
      </c>
      <c r="C45" s="1709">
        <v>48</v>
      </c>
      <c r="D45" s="1710">
        <v>48.07</v>
      </c>
      <c r="E45" s="1708">
        <v>520</v>
      </c>
      <c r="F45" s="1709">
        <v>300</v>
      </c>
      <c r="G45" s="1710">
        <v>300.18</v>
      </c>
      <c r="H45" s="1708">
        <v>3927</v>
      </c>
      <c r="I45" s="1709">
        <v>3508</v>
      </c>
      <c r="J45" s="1710">
        <v>3507.63</v>
      </c>
      <c r="K45" s="1708">
        <v>1802</v>
      </c>
      <c r="L45" s="1709">
        <v>1389.24</v>
      </c>
      <c r="M45" s="1710">
        <v>1389.24</v>
      </c>
      <c r="N45" s="1708">
        <v>1362</v>
      </c>
      <c r="O45" s="1709">
        <v>1059.87</v>
      </c>
      <c r="P45" s="1711">
        <v>1059.88</v>
      </c>
      <c r="Q45" s="1707" t="s">
        <v>3195</v>
      </c>
      <c r="R45" s="1708">
        <v>7226</v>
      </c>
      <c r="S45" s="1709">
        <v>4086.98</v>
      </c>
      <c r="T45" s="1710">
        <v>4086.98</v>
      </c>
      <c r="U45" s="1708">
        <v>380</v>
      </c>
      <c r="V45" s="1709">
        <v>371.29</v>
      </c>
      <c r="W45" s="1710">
        <v>371.29</v>
      </c>
      <c r="X45" s="1708">
        <v>4336</v>
      </c>
      <c r="Y45" s="1709">
        <f>3941.43+649.97</f>
        <v>4591.4</v>
      </c>
      <c r="Z45" s="1710">
        <f>4435.11+649.98</f>
        <v>5085.09</v>
      </c>
      <c r="AA45" s="1708">
        <f t="shared" si="9"/>
        <v>19673</v>
      </c>
      <c r="AB45" s="1709">
        <f t="shared" si="10"/>
        <v>15354.78</v>
      </c>
      <c r="AC45" s="1710">
        <f t="shared" si="11"/>
        <v>15848.36</v>
      </c>
      <c r="AD45" s="1712">
        <f t="shared" si="3"/>
        <v>1.0321450388738882</v>
      </c>
    </row>
    <row r="46" spans="1:30" ht="24.75" customHeight="1">
      <c r="A46" s="1707" t="s">
        <v>3196</v>
      </c>
      <c r="B46" s="1708">
        <v>185</v>
      </c>
      <c r="C46" s="1709">
        <v>97</v>
      </c>
      <c r="D46" s="1710">
        <v>96.6</v>
      </c>
      <c r="E46" s="1708">
        <v>0</v>
      </c>
      <c r="F46" s="1709">
        <v>0</v>
      </c>
      <c r="G46" s="1710">
        <v>0</v>
      </c>
      <c r="H46" s="1708">
        <v>5640</v>
      </c>
      <c r="I46" s="1709">
        <v>3716</v>
      </c>
      <c r="J46" s="1710">
        <v>3715.41</v>
      </c>
      <c r="K46" s="1708">
        <v>899</v>
      </c>
      <c r="L46" s="1709">
        <v>868.92</v>
      </c>
      <c r="M46" s="1710">
        <v>868.92</v>
      </c>
      <c r="N46" s="1708">
        <v>1245</v>
      </c>
      <c r="O46" s="1709">
        <v>965.9</v>
      </c>
      <c r="P46" s="1711">
        <v>965.9</v>
      </c>
      <c r="Q46" s="1707" t="s">
        <v>3196</v>
      </c>
      <c r="R46" s="1708">
        <v>4530</v>
      </c>
      <c r="S46" s="1709">
        <v>3186.39</v>
      </c>
      <c r="T46" s="1710">
        <v>3186.39</v>
      </c>
      <c r="U46" s="1708">
        <v>1003</v>
      </c>
      <c r="V46" s="1709">
        <v>643.75</v>
      </c>
      <c r="W46" s="1710">
        <v>643.75</v>
      </c>
      <c r="X46" s="1708">
        <v>2885</v>
      </c>
      <c r="Y46" s="1709">
        <f>659.2+800</f>
        <v>1459.2</v>
      </c>
      <c r="Z46" s="1710">
        <f>659.2+674.89</f>
        <v>1334.0900000000001</v>
      </c>
      <c r="AA46" s="1708">
        <f t="shared" si="9"/>
        <v>16387</v>
      </c>
      <c r="AB46" s="1709">
        <f t="shared" si="10"/>
        <v>10937.16</v>
      </c>
      <c r="AC46" s="1710">
        <f t="shared" si="11"/>
        <v>10811.06</v>
      </c>
      <c r="AD46" s="1712">
        <f t="shared" si="3"/>
        <v>0.9884704987400751</v>
      </c>
    </row>
    <row r="47" spans="1:30" ht="24.75" customHeight="1">
      <c r="A47" s="1707" t="s">
        <v>3197</v>
      </c>
      <c r="B47" s="1708">
        <v>0</v>
      </c>
      <c r="C47" s="1709">
        <v>0</v>
      </c>
      <c r="D47" s="1710">
        <v>0</v>
      </c>
      <c r="E47" s="1708">
        <v>0</v>
      </c>
      <c r="F47" s="1709">
        <v>0</v>
      </c>
      <c r="G47" s="1710">
        <v>0</v>
      </c>
      <c r="H47" s="1708">
        <v>1437</v>
      </c>
      <c r="I47" s="1709">
        <v>1511</v>
      </c>
      <c r="J47" s="1710">
        <v>1620.37</v>
      </c>
      <c r="K47" s="1708">
        <v>751</v>
      </c>
      <c r="L47" s="1709">
        <v>465.6</v>
      </c>
      <c r="M47" s="1710">
        <v>595.3</v>
      </c>
      <c r="N47" s="1708">
        <v>644</v>
      </c>
      <c r="O47" s="1709">
        <v>471.5</v>
      </c>
      <c r="P47" s="1711">
        <v>568.58</v>
      </c>
      <c r="Q47" s="1707" t="s">
        <v>3197</v>
      </c>
      <c r="R47" s="1708">
        <v>2306</v>
      </c>
      <c r="S47" s="1709">
        <v>1727.1</v>
      </c>
      <c r="T47" s="1710">
        <v>1962.05</v>
      </c>
      <c r="U47" s="1708">
        <v>0</v>
      </c>
      <c r="V47" s="1709">
        <v>0</v>
      </c>
      <c r="W47" s="1710">
        <v>0</v>
      </c>
      <c r="X47" s="1708">
        <v>1747</v>
      </c>
      <c r="Y47" s="1709">
        <f>1895.9+69.3</f>
        <v>1965.2</v>
      </c>
      <c r="Z47" s="1710">
        <f>1895.82+69.18</f>
        <v>1965</v>
      </c>
      <c r="AA47" s="1708">
        <f t="shared" si="9"/>
        <v>6885</v>
      </c>
      <c r="AB47" s="1709">
        <f t="shared" si="10"/>
        <v>6140.4</v>
      </c>
      <c r="AC47" s="1710">
        <f t="shared" si="11"/>
        <v>6711.3</v>
      </c>
      <c r="AD47" s="1712">
        <f t="shared" si="3"/>
        <v>1.0929743990619505</v>
      </c>
    </row>
    <row r="48" spans="1:30" ht="24.75" customHeight="1">
      <c r="A48" s="1707" t="s">
        <v>3198</v>
      </c>
      <c r="B48" s="1708">
        <v>25</v>
      </c>
      <c r="C48" s="1709">
        <v>0</v>
      </c>
      <c r="D48" s="1710">
        <v>0</v>
      </c>
      <c r="E48" s="1708">
        <v>500</v>
      </c>
      <c r="F48" s="1709">
        <v>349</v>
      </c>
      <c r="G48" s="1710">
        <v>348.92</v>
      </c>
      <c r="H48" s="1708">
        <v>4550</v>
      </c>
      <c r="I48" s="1709">
        <v>4006</v>
      </c>
      <c r="J48" s="1710">
        <v>3950</v>
      </c>
      <c r="K48" s="1708">
        <v>914</v>
      </c>
      <c r="L48" s="1709">
        <v>1052.52</v>
      </c>
      <c r="M48" s="1710">
        <v>1052.52</v>
      </c>
      <c r="N48" s="1708">
        <v>4000</v>
      </c>
      <c r="O48" s="1709">
        <v>2802</v>
      </c>
      <c r="P48" s="1711">
        <v>2802</v>
      </c>
      <c r="Q48" s="1707" t="s">
        <v>3198</v>
      </c>
      <c r="R48" s="1708">
        <v>4000</v>
      </c>
      <c r="S48" s="1709">
        <v>2755.61</v>
      </c>
      <c r="T48" s="1710">
        <v>2755.61</v>
      </c>
      <c r="U48" s="1708">
        <v>900</v>
      </c>
      <c r="V48" s="1709">
        <v>323.38</v>
      </c>
      <c r="W48" s="1710">
        <v>323.34</v>
      </c>
      <c r="X48" s="1708">
        <v>5204</v>
      </c>
      <c r="Y48" s="1709">
        <f>795.76+1101.98</f>
        <v>1897.74</v>
      </c>
      <c r="Z48" s="1710">
        <f>1101.97+795.75</f>
        <v>1897.72</v>
      </c>
      <c r="AA48" s="1708">
        <f t="shared" si="9"/>
        <v>20093</v>
      </c>
      <c r="AB48" s="1709">
        <f t="shared" si="10"/>
        <v>13186.25</v>
      </c>
      <c r="AC48" s="1710">
        <f t="shared" si="11"/>
        <v>13130.11</v>
      </c>
      <c r="AD48" s="1712">
        <f t="shared" si="3"/>
        <v>0.9957425348374254</v>
      </c>
    </row>
    <row r="49" spans="1:30" ht="24.75" customHeight="1">
      <c r="A49" s="1707" t="s">
        <v>3199</v>
      </c>
      <c r="B49" s="1708">
        <v>83</v>
      </c>
      <c r="C49" s="1709">
        <v>36</v>
      </c>
      <c r="D49" s="1710">
        <v>36.3</v>
      </c>
      <c r="E49" s="1708">
        <v>0</v>
      </c>
      <c r="F49" s="1709">
        <v>0</v>
      </c>
      <c r="G49" s="1710">
        <v>0</v>
      </c>
      <c r="H49" s="1708">
        <v>2239</v>
      </c>
      <c r="I49" s="1709">
        <v>1753</v>
      </c>
      <c r="J49" s="1710">
        <v>1862.02</v>
      </c>
      <c r="K49" s="1708">
        <v>459</v>
      </c>
      <c r="L49" s="1709">
        <v>391.53</v>
      </c>
      <c r="M49" s="1710">
        <v>405.39</v>
      </c>
      <c r="N49" s="1708">
        <v>1880</v>
      </c>
      <c r="O49" s="1709">
        <v>933.13</v>
      </c>
      <c r="P49" s="1711">
        <v>1013.83</v>
      </c>
      <c r="Q49" s="1707" t="s">
        <v>3199</v>
      </c>
      <c r="R49" s="1708">
        <v>2025</v>
      </c>
      <c r="S49" s="1709">
        <v>1598.8</v>
      </c>
      <c r="T49" s="1710">
        <v>1621.58</v>
      </c>
      <c r="U49" s="1708">
        <v>50</v>
      </c>
      <c r="V49" s="1709">
        <v>57.95</v>
      </c>
      <c r="W49" s="1710">
        <v>57.95</v>
      </c>
      <c r="X49" s="1708">
        <v>1963</v>
      </c>
      <c r="Y49" s="1709">
        <f>73.39+248.09</f>
        <v>321.48</v>
      </c>
      <c r="Z49" s="1710">
        <f>132.42+300.48</f>
        <v>432.9</v>
      </c>
      <c r="AA49" s="1708">
        <f t="shared" si="9"/>
        <v>8699</v>
      </c>
      <c r="AB49" s="1709">
        <f t="shared" si="10"/>
        <v>5091.889999999999</v>
      </c>
      <c r="AC49" s="1710">
        <f t="shared" si="11"/>
        <v>5429.969999999999</v>
      </c>
      <c r="AD49" s="1712">
        <f t="shared" si="3"/>
        <v>1.0663957783848435</v>
      </c>
    </row>
    <row r="50" spans="1:30" ht="24.75" customHeight="1">
      <c r="A50" s="1707" t="s">
        <v>3200</v>
      </c>
      <c r="B50" s="1708">
        <v>0</v>
      </c>
      <c r="C50" s="1709">
        <v>0</v>
      </c>
      <c r="D50" s="1710">
        <v>0</v>
      </c>
      <c r="E50" s="1708">
        <v>0</v>
      </c>
      <c r="F50" s="1709">
        <v>0</v>
      </c>
      <c r="G50" s="1710">
        <v>0</v>
      </c>
      <c r="H50" s="1708">
        <v>3634</v>
      </c>
      <c r="I50" s="1709">
        <v>3319</v>
      </c>
      <c r="J50" s="1710">
        <v>3357.22</v>
      </c>
      <c r="K50" s="1708">
        <v>996</v>
      </c>
      <c r="L50" s="1709">
        <v>892.2</v>
      </c>
      <c r="M50" s="1710">
        <v>892.1</v>
      </c>
      <c r="N50" s="1708">
        <v>984</v>
      </c>
      <c r="O50" s="1709">
        <v>979.16</v>
      </c>
      <c r="P50" s="1711">
        <v>979.18</v>
      </c>
      <c r="Q50" s="1707" t="s">
        <v>3200</v>
      </c>
      <c r="R50" s="1708">
        <v>3640</v>
      </c>
      <c r="S50" s="1709">
        <v>2087.5</v>
      </c>
      <c r="T50" s="1710">
        <v>2867.5</v>
      </c>
      <c r="U50" s="1708">
        <v>282</v>
      </c>
      <c r="V50" s="1709">
        <v>155.25</v>
      </c>
      <c r="W50" s="1710">
        <v>315.35</v>
      </c>
      <c r="X50" s="1708">
        <v>3319</v>
      </c>
      <c r="Y50" s="1709">
        <f>923.35+562.67</f>
        <v>1486.02</v>
      </c>
      <c r="Z50" s="1710">
        <f>923.35+562.67</f>
        <v>1486.02</v>
      </c>
      <c r="AA50" s="1708">
        <f t="shared" si="9"/>
        <v>12855</v>
      </c>
      <c r="AB50" s="1709">
        <f t="shared" si="10"/>
        <v>8919.13</v>
      </c>
      <c r="AC50" s="1710">
        <f t="shared" si="11"/>
        <v>9897.37</v>
      </c>
      <c r="AD50" s="1712">
        <f t="shared" si="3"/>
        <v>1.1096788588124629</v>
      </c>
    </row>
    <row r="51" spans="1:30" ht="24.75" customHeight="1">
      <c r="A51" s="1707" t="s">
        <v>3201</v>
      </c>
      <c r="B51" s="1708">
        <v>0</v>
      </c>
      <c r="C51" s="1709">
        <v>0</v>
      </c>
      <c r="D51" s="1710">
        <v>0</v>
      </c>
      <c r="E51" s="1708">
        <v>0</v>
      </c>
      <c r="F51" s="1709">
        <v>0</v>
      </c>
      <c r="G51" s="1710">
        <v>0</v>
      </c>
      <c r="H51" s="1708">
        <v>3742</v>
      </c>
      <c r="I51" s="1709">
        <v>2309</v>
      </c>
      <c r="J51" s="1710">
        <v>2308.66</v>
      </c>
      <c r="K51" s="1708">
        <v>1270</v>
      </c>
      <c r="L51" s="1709">
        <v>951.56</v>
      </c>
      <c r="M51" s="1710">
        <v>951.56</v>
      </c>
      <c r="N51" s="1708">
        <v>752</v>
      </c>
      <c r="O51" s="1709">
        <v>669.42</v>
      </c>
      <c r="P51" s="1711">
        <v>669.43</v>
      </c>
      <c r="Q51" s="1707" t="s">
        <v>3201</v>
      </c>
      <c r="R51" s="1708">
        <v>3078</v>
      </c>
      <c r="S51" s="1709">
        <v>2855.64</v>
      </c>
      <c r="T51" s="1710">
        <v>2855.64</v>
      </c>
      <c r="U51" s="1708">
        <v>650</v>
      </c>
      <c r="V51" s="1709">
        <v>13.44</v>
      </c>
      <c r="W51" s="1710">
        <v>13.44</v>
      </c>
      <c r="X51" s="1708">
        <v>3313</v>
      </c>
      <c r="Y51" s="1709">
        <f>2637.1+157.03</f>
        <v>2794.13</v>
      </c>
      <c r="Z51" s="1710">
        <f>2637.1+157.04</f>
        <v>2794.14</v>
      </c>
      <c r="AA51" s="1708">
        <f t="shared" si="9"/>
        <v>12805</v>
      </c>
      <c r="AB51" s="1709">
        <f t="shared" si="10"/>
        <v>9593.189999999999</v>
      </c>
      <c r="AC51" s="1710">
        <f t="shared" si="11"/>
        <v>9592.869999999999</v>
      </c>
      <c r="AD51" s="1712">
        <f t="shared" si="3"/>
        <v>0.9999666430040477</v>
      </c>
    </row>
    <row r="52" spans="1:30" ht="24.75" customHeight="1">
      <c r="A52" s="1707" t="s">
        <v>3202</v>
      </c>
      <c r="B52" s="1708">
        <v>30</v>
      </c>
      <c r="C52" s="1709">
        <v>6</v>
      </c>
      <c r="D52" s="1710">
        <v>5.7</v>
      </c>
      <c r="E52" s="1708">
        <v>190</v>
      </c>
      <c r="F52" s="1709">
        <v>169</v>
      </c>
      <c r="G52" s="1710">
        <v>122.29</v>
      </c>
      <c r="H52" s="1708">
        <v>3319</v>
      </c>
      <c r="I52" s="1709">
        <v>2474</v>
      </c>
      <c r="J52" s="1710">
        <v>2297.35</v>
      </c>
      <c r="K52" s="1708">
        <v>1079</v>
      </c>
      <c r="L52" s="1709">
        <v>980.6</v>
      </c>
      <c r="M52" s="1710">
        <v>885.28</v>
      </c>
      <c r="N52" s="1708">
        <v>0</v>
      </c>
      <c r="O52" s="1709">
        <v>0</v>
      </c>
      <c r="P52" s="1711">
        <v>0</v>
      </c>
      <c r="Q52" s="1707" t="s">
        <v>3202</v>
      </c>
      <c r="R52" s="1708">
        <v>5012</v>
      </c>
      <c r="S52" s="1709">
        <v>3797.6</v>
      </c>
      <c r="T52" s="1710">
        <v>3617.95</v>
      </c>
      <c r="U52" s="1708">
        <v>705</v>
      </c>
      <c r="V52" s="1709">
        <v>553.6</v>
      </c>
      <c r="W52" s="1710">
        <v>458.02</v>
      </c>
      <c r="X52" s="1708">
        <v>2750</v>
      </c>
      <c r="Y52" s="1709">
        <f>1403.3+926.4</f>
        <v>2329.7</v>
      </c>
      <c r="Z52" s="1710">
        <f>1314.48+1284.8</f>
        <v>2599.2799999999997</v>
      </c>
      <c r="AA52" s="1708">
        <f t="shared" si="9"/>
        <v>13085</v>
      </c>
      <c r="AB52" s="1709">
        <f t="shared" si="10"/>
        <v>10310.5</v>
      </c>
      <c r="AC52" s="1710">
        <f t="shared" si="11"/>
        <v>9985.869999999999</v>
      </c>
      <c r="AD52" s="1712">
        <f t="shared" si="3"/>
        <v>0.9685146210174094</v>
      </c>
    </row>
    <row r="53" spans="1:30" ht="24.75" customHeight="1">
      <c r="A53" s="1707" t="s">
        <v>3203</v>
      </c>
      <c r="B53" s="1708">
        <v>45</v>
      </c>
      <c r="C53" s="1709">
        <v>15</v>
      </c>
      <c r="D53" s="1710">
        <v>15.23</v>
      </c>
      <c r="E53" s="1708">
        <v>0</v>
      </c>
      <c r="F53" s="1709">
        <v>0</v>
      </c>
      <c r="G53" s="1710">
        <v>0</v>
      </c>
      <c r="H53" s="1708">
        <v>4337</v>
      </c>
      <c r="I53" s="1709">
        <v>2656</v>
      </c>
      <c r="J53" s="1710">
        <v>2655.45</v>
      </c>
      <c r="K53" s="1708">
        <v>1237</v>
      </c>
      <c r="L53" s="1709">
        <v>1151.01</v>
      </c>
      <c r="M53" s="1710">
        <v>1151.01</v>
      </c>
      <c r="N53" s="1708">
        <v>2679</v>
      </c>
      <c r="O53" s="1709">
        <v>2246.09</v>
      </c>
      <c r="P53" s="1711">
        <v>2246.09</v>
      </c>
      <c r="Q53" s="1707" t="s">
        <v>3203</v>
      </c>
      <c r="R53" s="1708">
        <v>3992</v>
      </c>
      <c r="S53" s="1709">
        <v>3976.28</v>
      </c>
      <c r="T53" s="1710">
        <v>3976.28</v>
      </c>
      <c r="U53" s="1708">
        <v>4101</v>
      </c>
      <c r="V53" s="1709">
        <v>2200.6</v>
      </c>
      <c r="W53" s="1710">
        <v>3983.89</v>
      </c>
      <c r="X53" s="1708">
        <v>2435</v>
      </c>
      <c r="Y53" s="1709">
        <f>274.24+475.49</f>
        <v>749.73</v>
      </c>
      <c r="Z53" s="1710">
        <f>274.24+475.49</f>
        <v>749.73</v>
      </c>
      <c r="AA53" s="1708">
        <f t="shared" si="9"/>
        <v>18826</v>
      </c>
      <c r="AB53" s="1709">
        <f t="shared" si="10"/>
        <v>12994.710000000001</v>
      </c>
      <c r="AC53" s="1710">
        <f t="shared" si="11"/>
        <v>14777.679999999998</v>
      </c>
      <c r="AD53" s="1712">
        <f t="shared" si="3"/>
        <v>1.137207371307247</v>
      </c>
    </row>
    <row r="54" spans="1:30" ht="24.75" customHeight="1">
      <c r="A54" s="1707" t="s">
        <v>3204</v>
      </c>
      <c r="B54" s="1708">
        <v>0</v>
      </c>
      <c r="C54" s="1709">
        <v>0</v>
      </c>
      <c r="D54" s="1710">
        <v>0</v>
      </c>
      <c r="E54" s="1708">
        <v>0</v>
      </c>
      <c r="F54" s="1709">
        <v>0</v>
      </c>
      <c r="G54" s="1710">
        <v>0</v>
      </c>
      <c r="H54" s="1708">
        <v>2994</v>
      </c>
      <c r="I54" s="1709">
        <v>2589</v>
      </c>
      <c r="J54" s="1710">
        <v>2588.14</v>
      </c>
      <c r="K54" s="1708">
        <v>741</v>
      </c>
      <c r="L54" s="1709">
        <v>783.63</v>
      </c>
      <c r="M54" s="1710">
        <v>783.62</v>
      </c>
      <c r="N54" s="1708">
        <v>650</v>
      </c>
      <c r="O54" s="1709">
        <v>589.18</v>
      </c>
      <c r="P54" s="1711">
        <v>589.18</v>
      </c>
      <c r="Q54" s="1707" t="s">
        <v>3204</v>
      </c>
      <c r="R54" s="1708">
        <v>4802</v>
      </c>
      <c r="S54" s="1709">
        <v>3593.79</v>
      </c>
      <c r="T54" s="1710">
        <v>3593.78</v>
      </c>
      <c r="U54" s="1708">
        <v>253</v>
      </c>
      <c r="V54" s="1709">
        <v>234.49</v>
      </c>
      <c r="W54" s="1710">
        <v>234.48</v>
      </c>
      <c r="X54" s="1708">
        <v>2254</v>
      </c>
      <c r="Y54" s="1709">
        <v>3397.1</v>
      </c>
      <c r="Z54" s="1710">
        <v>3397.09</v>
      </c>
      <c r="AA54" s="1708">
        <f t="shared" si="9"/>
        <v>11694</v>
      </c>
      <c r="AB54" s="1709">
        <f t="shared" si="10"/>
        <v>11187.19</v>
      </c>
      <c r="AC54" s="1710">
        <f t="shared" si="11"/>
        <v>11186.289999999999</v>
      </c>
      <c r="AD54" s="1712">
        <f t="shared" si="3"/>
        <v>0.9999195508434199</v>
      </c>
    </row>
    <row r="55" spans="1:30" ht="24.75" customHeight="1">
      <c r="A55" s="1707" t="s">
        <v>3205</v>
      </c>
      <c r="B55" s="1708">
        <v>330</v>
      </c>
      <c r="C55" s="1709">
        <v>0</v>
      </c>
      <c r="D55" s="1710">
        <v>0</v>
      </c>
      <c r="E55" s="1708">
        <v>1050</v>
      </c>
      <c r="F55" s="1709">
        <v>1354</v>
      </c>
      <c r="G55" s="1710">
        <v>1353.61</v>
      </c>
      <c r="H55" s="1708">
        <v>5860</v>
      </c>
      <c r="I55" s="1709">
        <v>4777</v>
      </c>
      <c r="J55" s="1710">
        <v>4776.62</v>
      </c>
      <c r="K55" s="1708">
        <v>1338</v>
      </c>
      <c r="L55" s="1709">
        <v>1017.84</v>
      </c>
      <c r="M55" s="1710">
        <v>1017.79</v>
      </c>
      <c r="N55" s="1708">
        <v>5476</v>
      </c>
      <c r="O55" s="1709">
        <v>3300.68</v>
      </c>
      <c r="P55" s="1711">
        <v>3300.65</v>
      </c>
      <c r="Q55" s="1707" t="s">
        <v>3205</v>
      </c>
      <c r="R55" s="1708">
        <v>4985</v>
      </c>
      <c r="S55" s="1709">
        <v>3682.06</v>
      </c>
      <c r="T55" s="1710">
        <v>3682.02</v>
      </c>
      <c r="U55" s="1708">
        <v>535</v>
      </c>
      <c r="V55" s="1709">
        <v>792.88</v>
      </c>
      <c r="W55" s="1710">
        <v>792.86</v>
      </c>
      <c r="X55" s="1708">
        <v>4161</v>
      </c>
      <c r="Y55" s="1709">
        <f>329.53+150.52</f>
        <v>480.04999999999995</v>
      </c>
      <c r="Z55" s="1710">
        <f>829.45+160.24</f>
        <v>989.69</v>
      </c>
      <c r="AA55" s="1708">
        <f t="shared" si="9"/>
        <v>23735</v>
      </c>
      <c r="AB55" s="1709">
        <f t="shared" si="10"/>
        <v>15404.509999999998</v>
      </c>
      <c r="AC55" s="1710">
        <f t="shared" si="11"/>
        <v>15913.240000000002</v>
      </c>
      <c r="AD55" s="1712">
        <f t="shared" si="3"/>
        <v>1.033024744052229</v>
      </c>
    </row>
    <row r="56" spans="1:30" ht="24.75" customHeight="1" thickBot="1">
      <c r="A56" s="1724" t="s">
        <v>3206</v>
      </c>
      <c r="B56" s="1713">
        <v>0</v>
      </c>
      <c r="C56" s="1714">
        <v>0</v>
      </c>
      <c r="D56" s="1715">
        <v>0</v>
      </c>
      <c r="E56" s="1713">
        <v>0</v>
      </c>
      <c r="F56" s="1714">
        <v>0</v>
      </c>
      <c r="G56" s="1715">
        <v>0</v>
      </c>
      <c r="H56" s="1713">
        <v>1729</v>
      </c>
      <c r="I56" s="1714">
        <v>838</v>
      </c>
      <c r="J56" s="1715">
        <v>1490.49</v>
      </c>
      <c r="K56" s="1713">
        <v>661</v>
      </c>
      <c r="L56" s="1714">
        <v>559.05</v>
      </c>
      <c r="M56" s="1715">
        <v>559.04</v>
      </c>
      <c r="N56" s="1713">
        <v>910</v>
      </c>
      <c r="O56" s="1714">
        <v>618.19</v>
      </c>
      <c r="P56" s="1716">
        <v>680.18</v>
      </c>
      <c r="Q56" s="1724" t="s">
        <v>3206</v>
      </c>
      <c r="R56" s="1713">
        <v>2522</v>
      </c>
      <c r="S56" s="1714">
        <v>1920.18</v>
      </c>
      <c r="T56" s="1715">
        <v>1920.17</v>
      </c>
      <c r="U56" s="1713">
        <v>0</v>
      </c>
      <c r="V56" s="1714">
        <v>0</v>
      </c>
      <c r="W56" s="1715">
        <v>0</v>
      </c>
      <c r="X56" s="1713">
        <v>2388</v>
      </c>
      <c r="Y56" s="1714">
        <f>3849.44+844.47</f>
        <v>4693.91</v>
      </c>
      <c r="Z56" s="1715">
        <f>3849.43+844.47</f>
        <v>4693.9</v>
      </c>
      <c r="AA56" s="1713">
        <f t="shared" si="9"/>
        <v>8210</v>
      </c>
      <c r="AB56" s="1714">
        <f t="shared" si="10"/>
        <v>8629.33</v>
      </c>
      <c r="AC56" s="1715">
        <f t="shared" si="11"/>
        <v>9343.779999999999</v>
      </c>
      <c r="AD56" s="1717">
        <f t="shared" si="3"/>
        <v>1.0827932180134494</v>
      </c>
    </row>
    <row r="57" spans="1:30" ht="24.75" customHeight="1" thickBot="1" thickTop="1">
      <c r="A57" s="1718" t="s">
        <v>2668</v>
      </c>
      <c r="B57" s="1719">
        <f>SUM(B43:B56)</f>
        <v>993</v>
      </c>
      <c r="C57" s="1720">
        <f aca="true" t="shared" si="13" ref="C57:Z57">SUM(C43:C56)</f>
        <v>284</v>
      </c>
      <c r="D57" s="1721">
        <f t="shared" si="13"/>
        <v>283.61</v>
      </c>
      <c r="E57" s="1719">
        <f t="shared" si="13"/>
        <v>2560</v>
      </c>
      <c r="F57" s="1720">
        <f t="shared" si="13"/>
        <v>2383</v>
      </c>
      <c r="G57" s="1721">
        <f t="shared" si="13"/>
        <v>2336.25</v>
      </c>
      <c r="H57" s="1719">
        <f t="shared" si="13"/>
        <v>55499</v>
      </c>
      <c r="I57" s="1720">
        <f t="shared" si="13"/>
        <v>43074</v>
      </c>
      <c r="J57" s="1721">
        <f t="shared" si="13"/>
        <v>43631.31</v>
      </c>
      <c r="K57" s="1719">
        <f t="shared" si="13"/>
        <v>15499</v>
      </c>
      <c r="L57" s="1720">
        <f t="shared" si="13"/>
        <v>13314.099999999999</v>
      </c>
      <c r="M57" s="1721">
        <f t="shared" si="13"/>
        <v>13359.390000000003</v>
      </c>
      <c r="N57" s="1719">
        <f t="shared" si="13"/>
        <v>31434</v>
      </c>
      <c r="O57" s="1720">
        <f t="shared" si="13"/>
        <v>24549.499999999996</v>
      </c>
      <c r="P57" s="1722">
        <f t="shared" si="13"/>
        <v>24789.190000000002</v>
      </c>
      <c r="Q57" s="1718" t="s">
        <v>2668</v>
      </c>
      <c r="R57" s="1719">
        <f t="shared" si="13"/>
        <v>55331</v>
      </c>
      <c r="S57" s="1720">
        <f t="shared" si="13"/>
        <v>41427.47999999999</v>
      </c>
      <c r="T57" s="1721">
        <f t="shared" si="13"/>
        <v>42275.52999999999</v>
      </c>
      <c r="U57" s="1719">
        <f t="shared" si="13"/>
        <v>10852</v>
      </c>
      <c r="V57" s="1720">
        <f t="shared" si="13"/>
        <v>7056.37</v>
      </c>
      <c r="W57" s="1721">
        <f t="shared" si="13"/>
        <v>8904.02</v>
      </c>
      <c r="X57" s="1719">
        <f t="shared" si="13"/>
        <v>44004</v>
      </c>
      <c r="Y57" s="1720">
        <f t="shared" si="13"/>
        <v>44521.70000000001</v>
      </c>
      <c r="Z57" s="1721">
        <f t="shared" si="13"/>
        <v>45842.74000000001</v>
      </c>
      <c r="AA57" s="1719">
        <f t="shared" si="9"/>
        <v>216172</v>
      </c>
      <c r="AB57" s="1720">
        <f t="shared" si="10"/>
        <v>176610.15</v>
      </c>
      <c r="AC57" s="1721">
        <f t="shared" si="11"/>
        <v>181422.04</v>
      </c>
      <c r="AD57" s="1723">
        <f t="shared" si="3"/>
        <v>1.0272458293025628</v>
      </c>
    </row>
    <row r="58" spans="1:30" ht="24.75" customHeight="1" thickTop="1">
      <c r="A58" s="1701" t="s">
        <v>3207</v>
      </c>
      <c r="B58" s="1702">
        <v>20</v>
      </c>
      <c r="C58" s="1703">
        <v>13</v>
      </c>
      <c r="D58" s="1704">
        <v>13.38</v>
      </c>
      <c r="E58" s="1702">
        <v>0</v>
      </c>
      <c r="F58" s="1703">
        <v>0</v>
      </c>
      <c r="G58" s="1704">
        <v>0</v>
      </c>
      <c r="H58" s="1702">
        <v>6150</v>
      </c>
      <c r="I58" s="1703">
        <v>5198</v>
      </c>
      <c r="J58" s="1704">
        <v>5193.19</v>
      </c>
      <c r="K58" s="1702">
        <v>2400</v>
      </c>
      <c r="L58" s="1703">
        <v>1966.04</v>
      </c>
      <c r="M58" s="1704">
        <v>1958.96</v>
      </c>
      <c r="N58" s="1702">
        <v>0</v>
      </c>
      <c r="O58" s="1703">
        <v>80</v>
      </c>
      <c r="P58" s="1705">
        <v>76.82</v>
      </c>
      <c r="Q58" s="1701" t="s">
        <v>3207</v>
      </c>
      <c r="R58" s="1702">
        <v>12450</v>
      </c>
      <c r="S58" s="1703">
        <v>11871.3</v>
      </c>
      <c r="T58" s="1704">
        <v>11871.29</v>
      </c>
      <c r="U58" s="1702">
        <v>640</v>
      </c>
      <c r="V58" s="1703">
        <v>344.46</v>
      </c>
      <c r="W58" s="1704">
        <v>314.57</v>
      </c>
      <c r="X58" s="1702">
        <v>8288</v>
      </c>
      <c r="Y58" s="1703">
        <f>14537.87+2902.63</f>
        <v>17440.5</v>
      </c>
      <c r="Z58" s="1704">
        <f>9318.85+902.62</f>
        <v>10221.470000000001</v>
      </c>
      <c r="AA58" s="1702">
        <f t="shared" si="9"/>
        <v>29948</v>
      </c>
      <c r="AB58" s="1703">
        <f t="shared" si="10"/>
        <v>36913.3</v>
      </c>
      <c r="AC58" s="1704">
        <f t="shared" si="11"/>
        <v>29649.68</v>
      </c>
      <c r="AD58" s="1706">
        <f t="shared" si="3"/>
        <v>0.8032248539144428</v>
      </c>
    </row>
    <row r="59" spans="1:30" ht="24.75" customHeight="1" thickBot="1">
      <c r="A59" s="1724" t="s">
        <v>3208</v>
      </c>
      <c r="B59" s="1713">
        <v>0</v>
      </c>
      <c r="C59" s="1714">
        <v>0</v>
      </c>
      <c r="D59" s="1715">
        <v>0</v>
      </c>
      <c r="E59" s="1713">
        <v>0</v>
      </c>
      <c r="F59" s="1714">
        <v>0</v>
      </c>
      <c r="G59" s="1715">
        <v>0</v>
      </c>
      <c r="H59" s="1713">
        <v>450</v>
      </c>
      <c r="I59" s="1714">
        <v>369</v>
      </c>
      <c r="J59" s="1715">
        <v>368.59</v>
      </c>
      <c r="K59" s="1713">
        <v>180</v>
      </c>
      <c r="L59" s="1714">
        <v>122.4</v>
      </c>
      <c r="M59" s="1715">
        <v>122.07</v>
      </c>
      <c r="N59" s="1713">
        <v>0</v>
      </c>
      <c r="O59" s="1714">
        <v>0</v>
      </c>
      <c r="P59" s="1716">
        <v>0</v>
      </c>
      <c r="Q59" s="1724" t="s">
        <v>3208</v>
      </c>
      <c r="R59" s="1713">
        <v>900</v>
      </c>
      <c r="S59" s="1714">
        <v>683</v>
      </c>
      <c r="T59" s="1715">
        <v>682.65</v>
      </c>
      <c r="U59" s="1713">
        <v>0</v>
      </c>
      <c r="V59" s="1714">
        <v>0</v>
      </c>
      <c r="W59" s="1715">
        <v>0</v>
      </c>
      <c r="X59" s="1713">
        <v>466</v>
      </c>
      <c r="Y59" s="1714">
        <f>1499+0</f>
        <v>1499</v>
      </c>
      <c r="Z59" s="1715">
        <f>1498.09+45.72</f>
        <v>1543.81</v>
      </c>
      <c r="AA59" s="1713">
        <f t="shared" si="9"/>
        <v>1996</v>
      </c>
      <c r="AB59" s="1714">
        <f t="shared" si="10"/>
        <v>2673.4</v>
      </c>
      <c r="AC59" s="1715">
        <f t="shared" si="11"/>
        <v>2717.12</v>
      </c>
      <c r="AD59" s="1717">
        <f t="shared" si="3"/>
        <v>1.0163537068901025</v>
      </c>
    </row>
    <row r="60" spans="1:30" ht="24.75" customHeight="1" thickBot="1" thickTop="1">
      <c r="A60" s="1718" t="s">
        <v>3149</v>
      </c>
      <c r="B60" s="1719">
        <f>B22+B31+B42+B57+B58+B59</f>
        <v>24765</v>
      </c>
      <c r="C60" s="1720">
        <f aca="true" t="shared" si="14" ref="C60:Z60">C22+C31+C42+C57+C58+C59</f>
        <v>23018.1</v>
      </c>
      <c r="D60" s="1721">
        <f t="shared" si="14"/>
        <v>23415.780000000002</v>
      </c>
      <c r="E60" s="1719">
        <f t="shared" si="14"/>
        <v>18355</v>
      </c>
      <c r="F60" s="1720">
        <f t="shared" si="14"/>
        <v>15136</v>
      </c>
      <c r="G60" s="1721">
        <f t="shared" si="14"/>
        <v>15701.599999999999</v>
      </c>
      <c r="H60" s="1719">
        <f t="shared" si="14"/>
        <v>364577</v>
      </c>
      <c r="I60" s="1720">
        <f t="shared" si="14"/>
        <v>338711.07</v>
      </c>
      <c r="J60" s="1721">
        <f t="shared" si="14"/>
        <v>336257.83</v>
      </c>
      <c r="K60" s="1719">
        <f t="shared" si="14"/>
        <v>96756</v>
      </c>
      <c r="L60" s="1720">
        <f t="shared" si="14"/>
        <v>80480.52999999998</v>
      </c>
      <c r="M60" s="1721">
        <f t="shared" si="14"/>
        <v>80495.17000000003</v>
      </c>
      <c r="N60" s="1719">
        <f t="shared" si="14"/>
        <v>227183</v>
      </c>
      <c r="O60" s="1720">
        <f t="shared" si="14"/>
        <v>201975.44000000003</v>
      </c>
      <c r="P60" s="1722">
        <f t="shared" si="14"/>
        <v>202102.17</v>
      </c>
      <c r="Q60" s="1718" t="s">
        <v>3149</v>
      </c>
      <c r="R60" s="1719">
        <f t="shared" si="14"/>
        <v>255907</v>
      </c>
      <c r="S60" s="1720">
        <f t="shared" si="14"/>
        <v>218119.04999999996</v>
      </c>
      <c r="T60" s="1721">
        <f t="shared" si="14"/>
        <v>216951.76</v>
      </c>
      <c r="U60" s="1719">
        <f t="shared" si="14"/>
        <v>334361</v>
      </c>
      <c r="V60" s="1720">
        <f t="shared" si="14"/>
        <v>259670.07999999996</v>
      </c>
      <c r="W60" s="1721">
        <f t="shared" si="14"/>
        <v>261962.30999999994</v>
      </c>
      <c r="X60" s="1719">
        <f t="shared" si="14"/>
        <v>331222</v>
      </c>
      <c r="Y60" s="1720">
        <f t="shared" si="14"/>
        <v>496623.42000000004</v>
      </c>
      <c r="Z60" s="1721">
        <f t="shared" si="14"/>
        <v>495558.48999999993</v>
      </c>
      <c r="AA60" s="1719">
        <f t="shared" si="9"/>
        <v>1653126</v>
      </c>
      <c r="AB60" s="1720">
        <f t="shared" si="10"/>
        <v>1633733.69</v>
      </c>
      <c r="AC60" s="1721">
        <f t="shared" si="11"/>
        <v>1632445.11</v>
      </c>
      <c r="AD60" s="1723">
        <f t="shared" si="3"/>
        <v>0.9992112668007722</v>
      </c>
    </row>
    <row r="61" spans="1:30" ht="24.75" customHeight="1" thickTop="1">
      <c r="A61" s="1701" t="s">
        <v>3209</v>
      </c>
      <c r="B61" s="1702">
        <v>0</v>
      </c>
      <c r="C61" s="1703">
        <v>0</v>
      </c>
      <c r="D61" s="1704">
        <v>0</v>
      </c>
      <c r="E61" s="1702">
        <v>0</v>
      </c>
      <c r="F61" s="1703">
        <v>0</v>
      </c>
      <c r="G61" s="1704">
        <v>0</v>
      </c>
      <c r="H61" s="1702">
        <v>0</v>
      </c>
      <c r="I61" s="1703">
        <v>0</v>
      </c>
      <c r="J61" s="1704">
        <v>0</v>
      </c>
      <c r="K61" s="1702">
        <v>0</v>
      </c>
      <c r="L61" s="1703">
        <v>0</v>
      </c>
      <c r="M61" s="1704">
        <v>0</v>
      </c>
      <c r="N61" s="1702">
        <v>0</v>
      </c>
      <c r="O61" s="1703">
        <v>0</v>
      </c>
      <c r="P61" s="1705">
        <v>0</v>
      </c>
      <c r="Q61" s="1701" t="s">
        <v>3209</v>
      </c>
      <c r="R61" s="1702">
        <v>0</v>
      </c>
      <c r="S61" s="1703">
        <v>0</v>
      </c>
      <c r="T61" s="1704">
        <v>0</v>
      </c>
      <c r="U61" s="1702">
        <v>0</v>
      </c>
      <c r="V61" s="1703">
        <v>0</v>
      </c>
      <c r="W61" s="1704">
        <v>0</v>
      </c>
      <c r="X61" s="1702">
        <v>0</v>
      </c>
      <c r="Y61" s="1703">
        <v>0</v>
      </c>
      <c r="Z61" s="1704">
        <v>0</v>
      </c>
      <c r="AA61" s="1702">
        <f t="shared" si="9"/>
        <v>0</v>
      </c>
      <c r="AB61" s="1703">
        <f t="shared" si="10"/>
        <v>0</v>
      </c>
      <c r="AC61" s="1704">
        <f t="shared" si="11"/>
        <v>0</v>
      </c>
      <c r="AD61" s="1706">
        <v>0</v>
      </c>
    </row>
    <row r="62" spans="1:30" ht="24.75" customHeight="1">
      <c r="A62" s="1707" t="s">
        <v>3210</v>
      </c>
      <c r="B62" s="1708">
        <v>0</v>
      </c>
      <c r="C62" s="1709">
        <v>0</v>
      </c>
      <c r="D62" s="1710">
        <v>0</v>
      </c>
      <c r="E62" s="1708">
        <v>0</v>
      </c>
      <c r="F62" s="1709">
        <v>0</v>
      </c>
      <c r="G62" s="1710">
        <v>0</v>
      </c>
      <c r="H62" s="1708">
        <v>0</v>
      </c>
      <c r="I62" s="1709">
        <v>0</v>
      </c>
      <c r="J62" s="1710">
        <v>0</v>
      </c>
      <c r="K62" s="1708">
        <v>0</v>
      </c>
      <c r="L62" s="1709">
        <v>0</v>
      </c>
      <c r="M62" s="1710">
        <v>0</v>
      </c>
      <c r="N62" s="1708">
        <v>0</v>
      </c>
      <c r="O62" s="1709">
        <v>0</v>
      </c>
      <c r="P62" s="1711">
        <v>0</v>
      </c>
      <c r="Q62" s="1707" t="s">
        <v>3210</v>
      </c>
      <c r="R62" s="1708">
        <v>0</v>
      </c>
      <c r="S62" s="1709">
        <v>0</v>
      </c>
      <c r="T62" s="1710">
        <v>0</v>
      </c>
      <c r="U62" s="1708">
        <v>0</v>
      </c>
      <c r="V62" s="1709">
        <v>0</v>
      </c>
      <c r="W62" s="1710">
        <v>0</v>
      </c>
      <c r="X62" s="1708">
        <v>0</v>
      </c>
      <c r="Y62" s="1709">
        <v>0</v>
      </c>
      <c r="Z62" s="1710">
        <v>0</v>
      </c>
      <c r="AA62" s="1708">
        <f t="shared" si="9"/>
        <v>0</v>
      </c>
      <c r="AB62" s="1709">
        <f t="shared" si="10"/>
        <v>0</v>
      </c>
      <c r="AC62" s="1710">
        <f t="shared" si="11"/>
        <v>0</v>
      </c>
      <c r="AD62" s="1712">
        <v>0</v>
      </c>
    </row>
    <row r="63" spans="1:30" ht="24.75" customHeight="1">
      <c r="A63" s="1707" t="s">
        <v>2713</v>
      </c>
      <c r="B63" s="1708">
        <v>0</v>
      </c>
      <c r="C63" s="1709">
        <v>0</v>
      </c>
      <c r="D63" s="1710">
        <v>0</v>
      </c>
      <c r="E63" s="1708">
        <v>0</v>
      </c>
      <c r="F63" s="1709">
        <v>0</v>
      </c>
      <c r="G63" s="1710">
        <v>0</v>
      </c>
      <c r="H63" s="1708">
        <v>0</v>
      </c>
      <c r="I63" s="1709">
        <v>0</v>
      </c>
      <c r="J63" s="1710">
        <v>0</v>
      </c>
      <c r="K63" s="1708">
        <v>0</v>
      </c>
      <c r="L63" s="1709">
        <v>0</v>
      </c>
      <c r="M63" s="1710">
        <v>0</v>
      </c>
      <c r="N63" s="1708">
        <v>0</v>
      </c>
      <c r="O63" s="1709">
        <v>0</v>
      </c>
      <c r="P63" s="1711">
        <v>0</v>
      </c>
      <c r="Q63" s="1707" t="s">
        <v>2713</v>
      </c>
      <c r="R63" s="1708">
        <v>0</v>
      </c>
      <c r="S63" s="1709">
        <v>0</v>
      </c>
      <c r="T63" s="1710">
        <v>0</v>
      </c>
      <c r="U63" s="1708">
        <v>0</v>
      </c>
      <c r="V63" s="1709">
        <v>0</v>
      </c>
      <c r="W63" s="1710">
        <v>0</v>
      </c>
      <c r="X63" s="1708">
        <v>0</v>
      </c>
      <c r="Y63" s="1709">
        <v>0</v>
      </c>
      <c r="Z63" s="1710">
        <v>0</v>
      </c>
      <c r="AA63" s="1708">
        <f t="shared" si="9"/>
        <v>0</v>
      </c>
      <c r="AB63" s="1709">
        <f t="shared" si="10"/>
        <v>0</v>
      </c>
      <c r="AC63" s="1710">
        <f t="shared" si="11"/>
        <v>0</v>
      </c>
      <c r="AD63" s="1712">
        <v>0</v>
      </c>
    </row>
    <row r="64" spans="1:30" ht="24.75" customHeight="1">
      <c r="A64" s="1707" t="s">
        <v>3211</v>
      </c>
      <c r="B64" s="1708">
        <v>0</v>
      </c>
      <c r="C64" s="1709">
        <v>0</v>
      </c>
      <c r="D64" s="1710">
        <v>0</v>
      </c>
      <c r="E64" s="1708">
        <v>0</v>
      </c>
      <c r="F64" s="1709">
        <v>0</v>
      </c>
      <c r="G64" s="1710">
        <v>0</v>
      </c>
      <c r="H64" s="1708">
        <v>0</v>
      </c>
      <c r="I64" s="1709">
        <v>0</v>
      </c>
      <c r="J64" s="1710">
        <v>0</v>
      </c>
      <c r="K64" s="1708">
        <v>0</v>
      </c>
      <c r="L64" s="1709">
        <v>0</v>
      </c>
      <c r="M64" s="1710">
        <v>0</v>
      </c>
      <c r="N64" s="1708">
        <v>0</v>
      </c>
      <c r="O64" s="1709">
        <v>0</v>
      </c>
      <c r="P64" s="1711">
        <v>0</v>
      </c>
      <c r="Q64" s="1707" t="s">
        <v>3211</v>
      </c>
      <c r="R64" s="1708">
        <v>0</v>
      </c>
      <c r="S64" s="1709">
        <v>0</v>
      </c>
      <c r="T64" s="1710">
        <v>0</v>
      </c>
      <c r="U64" s="1708">
        <v>0</v>
      </c>
      <c r="V64" s="1709">
        <v>0</v>
      </c>
      <c r="W64" s="1710">
        <v>0</v>
      </c>
      <c r="X64" s="1708">
        <v>0</v>
      </c>
      <c r="Y64" s="1709">
        <v>0</v>
      </c>
      <c r="Z64" s="1710">
        <v>0</v>
      </c>
      <c r="AA64" s="1708">
        <f t="shared" si="9"/>
        <v>0</v>
      </c>
      <c r="AB64" s="1709">
        <f t="shared" si="10"/>
        <v>0</v>
      </c>
      <c r="AC64" s="1710">
        <f t="shared" si="11"/>
        <v>0</v>
      </c>
      <c r="AD64" s="1712">
        <v>0</v>
      </c>
    </row>
    <row r="65" spans="1:30" ht="24.75" customHeight="1" thickBot="1">
      <c r="A65" s="1724" t="s">
        <v>2712</v>
      </c>
      <c r="B65" s="1713">
        <v>0</v>
      </c>
      <c r="C65" s="1714">
        <v>0</v>
      </c>
      <c r="D65" s="1715">
        <v>0</v>
      </c>
      <c r="E65" s="1713">
        <v>0</v>
      </c>
      <c r="F65" s="1714">
        <v>0</v>
      </c>
      <c r="G65" s="1715">
        <v>0</v>
      </c>
      <c r="H65" s="1713">
        <v>0</v>
      </c>
      <c r="I65" s="1714">
        <v>0</v>
      </c>
      <c r="J65" s="1715">
        <v>0</v>
      </c>
      <c r="K65" s="1713">
        <v>0</v>
      </c>
      <c r="L65" s="1714">
        <v>0</v>
      </c>
      <c r="M65" s="1715">
        <v>0</v>
      </c>
      <c r="N65" s="1713">
        <v>0</v>
      </c>
      <c r="O65" s="1714">
        <v>0</v>
      </c>
      <c r="P65" s="1716">
        <v>0</v>
      </c>
      <c r="Q65" s="1724" t="s">
        <v>2712</v>
      </c>
      <c r="R65" s="1713">
        <v>0</v>
      </c>
      <c r="S65" s="1714">
        <v>0</v>
      </c>
      <c r="T65" s="1715">
        <v>0</v>
      </c>
      <c r="U65" s="1713">
        <v>0</v>
      </c>
      <c r="V65" s="1714">
        <v>0</v>
      </c>
      <c r="W65" s="1715">
        <v>0</v>
      </c>
      <c r="X65" s="1713">
        <v>0</v>
      </c>
      <c r="Y65" s="1714">
        <v>0</v>
      </c>
      <c r="Z65" s="1715">
        <v>0</v>
      </c>
      <c r="AA65" s="1713">
        <f t="shared" si="9"/>
        <v>0</v>
      </c>
      <c r="AB65" s="1714">
        <f t="shared" si="10"/>
        <v>0</v>
      </c>
      <c r="AC65" s="1715">
        <f t="shared" si="11"/>
        <v>0</v>
      </c>
      <c r="AD65" s="1717">
        <v>0</v>
      </c>
    </row>
    <row r="66" spans="1:30" ht="24.75" customHeight="1" thickBot="1" thickTop="1">
      <c r="A66" s="1718" t="s">
        <v>3212</v>
      </c>
      <c r="B66" s="1719">
        <f>SUM(B61:B65)</f>
        <v>0</v>
      </c>
      <c r="C66" s="1720">
        <f aca="true" t="shared" si="15" ref="C66:Z66">SUM(C61:C65)</f>
        <v>0</v>
      </c>
      <c r="D66" s="1721">
        <f t="shared" si="15"/>
        <v>0</v>
      </c>
      <c r="E66" s="1719">
        <f t="shared" si="15"/>
        <v>0</v>
      </c>
      <c r="F66" s="1720">
        <f t="shared" si="15"/>
        <v>0</v>
      </c>
      <c r="G66" s="1721">
        <f t="shared" si="15"/>
        <v>0</v>
      </c>
      <c r="H66" s="1719">
        <f t="shared" si="15"/>
        <v>0</v>
      </c>
      <c r="I66" s="1720">
        <f t="shared" si="15"/>
        <v>0</v>
      </c>
      <c r="J66" s="1721">
        <f t="shared" si="15"/>
        <v>0</v>
      </c>
      <c r="K66" s="1719">
        <f t="shared" si="15"/>
        <v>0</v>
      </c>
      <c r="L66" s="1720">
        <f t="shared" si="15"/>
        <v>0</v>
      </c>
      <c r="M66" s="1721">
        <f t="shared" si="15"/>
        <v>0</v>
      </c>
      <c r="N66" s="1719">
        <f t="shared" si="15"/>
        <v>0</v>
      </c>
      <c r="O66" s="1720">
        <f t="shared" si="15"/>
        <v>0</v>
      </c>
      <c r="P66" s="1722">
        <f t="shared" si="15"/>
        <v>0</v>
      </c>
      <c r="Q66" s="1718" t="s">
        <v>3212</v>
      </c>
      <c r="R66" s="1719">
        <f t="shared" si="15"/>
        <v>0</v>
      </c>
      <c r="S66" s="1720">
        <f t="shared" si="15"/>
        <v>0</v>
      </c>
      <c r="T66" s="1721">
        <f t="shared" si="15"/>
        <v>0</v>
      </c>
      <c r="U66" s="1719">
        <f t="shared" si="15"/>
        <v>0</v>
      </c>
      <c r="V66" s="1720">
        <f t="shared" si="15"/>
        <v>0</v>
      </c>
      <c r="W66" s="1721">
        <f t="shared" si="15"/>
        <v>0</v>
      </c>
      <c r="X66" s="1719">
        <v>0</v>
      </c>
      <c r="Y66" s="1720">
        <f t="shared" si="15"/>
        <v>0</v>
      </c>
      <c r="Z66" s="1721">
        <f t="shared" si="15"/>
        <v>0</v>
      </c>
      <c r="AA66" s="1719">
        <f t="shared" si="9"/>
        <v>0</v>
      </c>
      <c r="AB66" s="1720">
        <f t="shared" si="10"/>
        <v>0</v>
      </c>
      <c r="AC66" s="1721">
        <f t="shared" si="11"/>
        <v>0</v>
      </c>
      <c r="AD66" s="1723">
        <v>0</v>
      </c>
    </row>
    <row r="67" spans="1:30" ht="24.75" customHeight="1" thickBot="1" thickTop="1">
      <c r="A67" s="1718" t="s">
        <v>3150</v>
      </c>
      <c r="B67" s="1719">
        <f>B60+B66</f>
        <v>24765</v>
      </c>
      <c r="C67" s="1720">
        <f aca="true" t="shared" si="16" ref="C67:Z67">C60+C66</f>
        <v>23018.1</v>
      </c>
      <c r="D67" s="1721">
        <f t="shared" si="16"/>
        <v>23415.780000000002</v>
      </c>
      <c r="E67" s="1719">
        <f t="shared" si="16"/>
        <v>18355</v>
      </c>
      <c r="F67" s="1720">
        <f t="shared" si="16"/>
        <v>15136</v>
      </c>
      <c r="G67" s="1721">
        <f t="shared" si="16"/>
        <v>15701.599999999999</v>
      </c>
      <c r="H67" s="1719">
        <f t="shared" si="16"/>
        <v>364577</v>
      </c>
      <c r="I67" s="1720">
        <f t="shared" si="16"/>
        <v>338711.07</v>
      </c>
      <c r="J67" s="1721">
        <f t="shared" si="16"/>
        <v>336257.83</v>
      </c>
      <c r="K67" s="1719">
        <f t="shared" si="16"/>
        <v>96756</v>
      </c>
      <c r="L67" s="1720">
        <f t="shared" si="16"/>
        <v>80480.52999999998</v>
      </c>
      <c r="M67" s="1721">
        <f t="shared" si="16"/>
        <v>80495.17000000003</v>
      </c>
      <c r="N67" s="1719">
        <f t="shared" si="16"/>
        <v>227183</v>
      </c>
      <c r="O67" s="1720">
        <f t="shared" si="16"/>
        <v>201975.44000000003</v>
      </c>
      <c r="P67" s="1722">
        <f t="shared" si="16"/>
        <v>202102.17</v>
      </c>
      <c r="Q67" s="1718" t="s">
        <v>3150</v>
      </c>
      <c r="R67" s="1719">
        <f t="shared" si="16"/>
        <v>255907</v>
      </c>
      <c r="S67" s="1720">
        <f t="shared" si="16"/>
        <v>218119.04999999996</v>
      </c>
      <c r="T67" s="1721">
        <f t="shared" si="16"/>
        <v>216951.76</v>
      </c>
      <c r="U67" s="1719">
        <f t="shared" si="16"/>
        <v>334361</v>
      </c>
      <c r="V67" s="1720">
        <f t="shared" si="16"/>
        <v>259670.07999999996</v>
      </c>
      <c r="W67" s="1721">
        <f t="shared" si="16"/>
        <v>261962.30999999994</v>
      </c>
      <c r="X67" s="1719">
        <f t="shared" si="16"/>
        <v>331222</v>
      </c>
      <c r="Y67" s="1720">
        <f t="shared" si="16"/>
        <v>496623.42000000004</v>
      </c>
      <c r="Z67" s="1721">
        <f t="shared" si="16"/>
        <v>495558.48999999993</v>
      </c>
      <c r="AA67" s="1719">
        <f t="shared" si="9"/>
        <v>1653126</v>
      </c>
      <c r="AB67" s="1720">
        <f t="shared" si="10"/>
        <v>1633733.69</v>
      </c>
      <c r="AC67" s="1721">
        <f t="shared" si="11"/>
        <v>1632445.11</v>
      </c>
      <c r="AD67" s="1723">
        <f t="shared" si="3"/>
        <v>0.9992112668007722</v>
      </c>
    </row>
    <row r="68" spans="1:30" ht="24.75" customHeight="1" thickBot="1" thickTop="1">
      <c r="A68" s="1736" t="s">
        <v>3213</v>
      </c>
      <c r="B68" s="1725">
        <f>B21+B41+B57</f>
        <v>1003</v>
      </c>
      <c r="C68" s="1726">
        <f aca="true" t="shared" si="17" ref="C68:Z68">C21+C41+C57</f>
        <v>284</v>
      </c>
      <c r="D68" s="1727">
        <f t="shared" si="17"/>
        <v>283.61</v>
      </c>
      <c r="E68" s="1725">
        <f t="shared" si="17"/>
        <v>2575</v>
      </c>
      <c r="F68" s="1726">
        <f t="shared" si="17"/>
        <v>2383</v>
      </c>
      <c r="G68" s="1727">
        <f t="shared" si="17"/>
        <v>2336.25</v>
      </c>
      <c r="H68" s="1725">
        <f t="shared" si="17"/>
        <v>66157</v>
      </c>
      <c r="I68" s="1726">
        <f t="shared" si="17"/>
        <v>49874</v>
      </c>
      <c r="J68" s="1727">
        <f t="shared" si="17"/>
        <v>50429.97</v>
      </c>
      <c r="K68" s="1725">
        <f t="shared" si="17"/>
        <v>18648</v>
      </c>
      <c r="L68" s="1726">
        <f t="shared" si="17"/>
        <v>14779.679999999998</v>
      </c>
      <c r="M68" s="1727">
        <f t="shared" si="17"/>
        <v>14824.920000000004</v>
      </c>
      <c r="N68" s="1725">
        <f t="shared" si="17"/>
        <v>36969</v>
      </c>
      <c r="O68" s="1726">
        <f t="shared" si="17"/>
        <v>27953.559999999998</v>
      </c>
      <c r="P68" s="1728">
        <f t="shared" si="17"/>
        <v>28193.22</v>
      </c>
      <c r="Q68" s="1736" t="s">
        <v>3213</v>
      </c>
      <c r="R68" s="1725">
        <f t="shared" si="17"/>
        <v>58779</v>
      </c>
      <c r="S68" s="1726">
        <f t="shared" si="17"/>
        <v>44138.859999999986</v>
      </c>
      <c r="T68" s="1727">
        <f t="shared" si="17"/>
        <v>44983.34999999999</v>
      </c>
      <c r="U68" s="1725">
        <f t="shared" si="17"/>
        <v>14065</v>
      </c>
      <c r="V68" s="1726">
        <f t="shared" si="17"/>
        <v>9832.14</v>
      </c>
      <c r="W68" s="1727">
        <f t="shared" si="17"/>
        <v>11679.79</v>
      </c>
      <c r="X68" s="1725">
        <f t="shared" si="17"/>
        <v>47132</v>
      </c>
      <c r="Y68" s="1726">
        <f t="shared" si="17"/>
        <v>70423.75000000001</v>
      </c>
      <c r="Z68" s="1727">
        <f t="shared" si="17"/>
        <v>71744.56000000001</v>
      </c>
      <c r="AA68" s="1725">
        <f t="shared" si="9"/>
        <v>245328</v>
      </c>
      <c r="AB68" s="1726">
        <f t="shared" si="10"/>
        <v>219668.99</v>
      </c>
      <c r="AC68" s="1727">
        <f t="shared" si="11"/>
        <v>224475.67000000004</v>
      </c>
      <c r="AD68" s="1729">
        <f t="shared" si="3"/>
        <v>1.0218814681125454</v>
      </c>
    </row>
    <row r="69" ht="13.5" thickTop="1"/>
    <row r="71" spans="17:31" ht="18">
      <c r="Q71" s="1686" t="s">
        <v>3620</v>
      </c>
      <c r="Y71" s="1686" t="s">
        <v>3750</v>
      </c>
      <c r="AA71" s="1686"/>
      <c r="AB71" s="1687"/>
      <c r="AC71" s="1882" t="s">
        <v>3510</v>
      </c>
      <c r="AD71" s="1882"/>
      <c r="AE71" s="1075"/>
    </row>
  </sheetData>
  <mergeCells count="13">
    <mergeCell ref="H7:I7"/>
    <mergeCell ref="K7:L7"/>
    <mergeCell ref="AC1:AD1"/>
    <mergeCell ref="B7:C7"/>
    <mergeCell ref="E7:F7"/>
    <mergeCell ref="Q4:AD4"/>
    <mergeCell ref="A4:P4"/>
    <mergeCell ref="AC71:AD71"/>
    <mergeCell ref="AA7:AB7"/>
    <mergeCell ref="N7:O7"/>
    <mergeCell ref="R7:S7"/>
    <mergeCell ref="U7:V7"/>
    <mergeCell ref="X7:Y7"/>
  </mergeCells>
  <printOptions horizontalCentered="1"/>
  <pageMargins left="0.5905511811023623" right="0.1968503937007874" top="0.7874015748031497" bottom="0.3937007874015748" header="0.7086614173228347" footer="0.5118110236220472"/>
  <pageSetup fitToWidth="2" horizontalDpi="600" verticalDpi="600" orientation="portrait" paperSize="9" scale="41" r:id="rId1"/>
  <headerFooter alignWithMargins="0">
    <oddHeader>&amp;C&amp;"Arial CE,tučné"&amp;12
</oddHeader>
    <oddFooter>&amp;C&amp;14 86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"/>
  <sheetViews>
    <sheetView workbookViewId="0" topLeftCell="A1">
      <selection activeCell="A28" sqref="A28"/>
    </sheetView>
  </sheetViews>
  <sheetFormatPr defaultColWidth="9.00390625" defaultRowHeight="12.75"/>
  <cols>
    <col min="1" max="1" width="2.625" style="588" customWidth="1"/>
    <col min="2" max="2" width="13.50390625" style="588" customWidth="1"/>
    <col min="3" max="3" width="39.625" style="692" customWidth="1"/>
    <col min="4" max="4" width="4.125" style="221" customWidth="1"/>
    <col min="5" max="7" width="11.50390625" style="221" customWidth="1"/>
    <col min="8" max="8" width="16.00390625" style="221" customWidth="1"/>
    <col min="9" max="9" width="13.875" style="221" customWidth="1"/>
    <col min="10" max="10" width="12.375" style="221" customWidth="1"/>
    <col min="11" max="11" width="14.625" style="221" customWidth="1"/>
    <col min="12" max="12" width="16.50390625" style="221" customWidth="1"/>
    <col min="13" max="13" width="17.625" style="221" customWidth="1"/>
    <col min="14" max="14" width="14.625" style="221" customWidth="1"/>
    <col min="15" max="15" width="14.00390625" style="221" customWidth="1"/>
    <col min="16" max="16" width="13.875" style="221" customWidth="1"/>
    <col min="17" max="17" width="11.125" style="221" customWidth="1"/>
    <col min="18" max="16384" width="8.875" style="588" customWidth="1"/>
  </cols>
  <sheetData>
    <row r="1" spans="2:17" ht="15">
      <c r="B1" s="221" t="s">
        <v>3513</v>
      </c>
      <c r="P1" s="1877" t="s">
        <v>3759</v>
      </c>
      <c r="Q1" s="1877"/>
    </row>
    <row r="2" spans="2:17" ht="20.25">
      <c r="B2" s="1074" t="s">
        <v>3386</v>
      </c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</row>
    <row r="3" spans="4:17" ht="15.75" thickBot="1">
      <c r="D3" s="616"/>
      <c r="E3" s="616"/>
      <c r="F3" s="616"/>
      <c r="G3" s="616"/>
      <c r="Q3" s="1075" t="s">
        <v>2575</v>
      </c>
    </row>
    <row r="4" spans="2:17" ht="85.5" customHeight="1" thickBot="1">
      <c r="B4" s="1076" t="s">
        <v>3387</v>
      </c>
      <c r="C4" s="1077" t="s">
        <v>3388</v>
      </c>
      <c r="D4" s="1078" t="s">
        <v>3153</v>
      </c>
      <c r="E4" s="1079" t="s">
        <v>3389</v>
      </c>
      <c r="F4" s="1080" t="s">
        <v>2741</v>
      </c>
      <c r="G4" s="1079" t="s">
        <v>3390</v>
      </c>
      <c r="H4" s="1080" t="s">
        <v>3391</v>
      </c>
      <c r="I4" s="1079" t="s">
        <v>3752</v>
      </c>
      <c r="J4" s="1080" t="s">
        <v>3753</v>
      </c>
      <c r="K4" s="1079" t="s">
        <v>3392</v>
      </c>
      <c r="L4" s="1080" t="s">
        <v>2746</v>
      </c>
      <c r="M4" s="1080"/>
      <c r="N4" s="1081" t="s">
        <v>3393</v>
      </c>
      <c r="O4" s="1082"/>
      <c r="P4" s="1080" t="s">
        <v>3394</v>
      </c>
      <c r="Q4" s="1079" t="s">
        <v>3346</v>
      </c>
    </row>
    <row r="5" spans="2:17" ht="69.75" customHeight="1" thickBot="1">
      <c r="B5" s="1083"/>
      <c r="C5" s="1084"/>
      <c r="D5" s="1085"/>
      <c r="E5" s="1086"/>
      <c r="F5" s="1087"/>
      <c r="G5" s="1086"/>
      <c r="H5" s="1087"/>
      <c r="I5" s="1086"/>
      <c r="J5" s="1087"/>
      <c r="K5" s="1086"/>
      <c r="L5" s="672" t="s">
        <v>3755</v>
      </c>
      <c r="M5" s="673" t="s">
        <v>3754</v>
      </c>
      <c r="N5" s="590" t="s">
        <v>3756</v>
      </c>
      <c r="O5" s="673" t="s">
        <v>3757</v>
      </c>
      <c r="P5" s="1087"/>
      <c r="Q5" s="1086"/>
    </row>
    <row r="6" spans="2:17" ht="15">
      <c r="B6" s="1088"/>
      <c r="C6" s="1089"/>
      <c r="D6" s="1090"/>
      <c r="E6" s="1091">
        <v>1</v>
      </c>
      <c r="F6" s="1092">
        <v>2</v>
      </c>
      <c r="G6" s="1091">
        <v>3</v>
      </c>
      <c r="H6" s="1092">
        <v>4</v>
      </c>
      <c r="I6" s="1091">
        <v>5</v>
      </c>
      <c r="J6" s="1092">
        <v>6</v>
      </c>
      <c r="K6" s="1091">
        <v>7</v>
      </c>
      <c r="L6" s="1092">
        <v>8</v>
      </c>
      <c r="M6" s="1091">
        <v>9</v>
      </c>
      <c r="N6" s="1092">
        <v>10</v>
      </c>
      <c r="O6" s="1091">
        <v>11</v>
      </c>
      <c r="P6" s="1092">
        <v>12</v>
      </c>
      <c r="Q6" s="1091">
        <v>13</v>
      </c>
    </row>
    <row r="7" spans="2:17" ht="26.25">
      <c r="B7" s="1093">
        <v>214010</v>
      </c>
      <c r="C7" s="1094" t="s">
        <v>3395</v>
      </c>
      <c r="D7" s="1090"/>
      <c r="E7" s="600">
        <v>621060</v>
      </c>
      <c r="F7" s="601">
        <v>615060</v>
      </c>
      <c r="G7" s="602">
        <v>0</v>
      </c>
      <c r="H7" s="1095">
        <f aca="true" t="shared" si="0" ref="H7:H27">+F7+G7</f>
        <v>615060</v>
      </c>
      <c r="I7" s="602">
        <v>462272.66</v>
      </c>
      <c r="J7" s="1095">
        <v>152787.34</v>
      </c>
      <c r="K7" s="602">
        <f aca="true" t="shared" si="1" ref="K7:K27">+I7+J7</f>
        <v>615060</v>
      </c>
      <c r="L7" s="1095">
        <f aca="true" t="shared" si="2" ref="L7:L27">+I7-F7</f>
        <v>-152787.34000000003</v>
      </c>
      <c r="M7" s="602">
        <f aca="true" t="shared" si="3" ref="M7:M27">+K7-F7</f>
        <v>0</v>
      </c>
      <c r="N7" s="1095">
        <f aca="true" t="shared" si="4" ref="N7:N27">+I7-H7</f>
        <v>-152787.34000000003</v>
      </c>
      <c r="O7" s="602">
        <f aca="true" t="shared" si="5" ref="O7:O27">+K7-H7</f>
        <v>0</v>
      </c>
      <c r="P7" s="602">
        <v>470100.61</v>
      </c>
      <c r="Q7" s="1096">
        <f aca="true" t="shared" si="6" ref="Q7:Q31">+I7/P7</f>
        <v>0.9833483517496393</v>
      </c>
    </row>
    <row r="8" spans="2:17" ht="26.25">
      <c r="B8" s="1093">
        <v>214020</v>
      </c>
      <c r="C8" s="1094" t="s">
        <v>3396</v>
      </c>
      <c r="D8" s="1090"/>
      <c r="E8" s="605">
        <v>95073</v>
      </c>
      <c r="F8" s="607">
        <v>99518</v>
      </c>
      <c r="G8" s="606">
        <v>0</v>
      </c>
      <c r="H8" s="1097">
        <f t="shared" si="0"/>
        <v>99518</v>
      </c>
      <c r="I8" s="606">
        <v>98101.19</v>
      </c>
      <c r="J8" s="1097">
        <v>1407.32</v>
      </c>
      <c r="K8" s="606">
        <f t="shared" si="1"/>
        <v>99508.51000000001</v>
      </c>
      <c r="L8" s="1097">
        <f t="shared" si="2"/>
        <v>-1416.8099999999977</v>
      </c>
      <c r="M8" s="606">
        <f t="shared" si="3"/>
        <v>-9.489999999990687</v>
      </c>
      <c r="N8" s="1098">
        <f t="shared" si="4"/>
        <v>-1416.8099999999977</v>
      </c>
      <c r="O8" s="606">
        <f t="shared" si="5"/>
        <v>-9.489999999990687</v>
      </c>
      <c r="P8" s="1097">
        <v>49923</v>
      </c>
      <c r="Q8" s="1099">
        <f t="shared" si="6"/>
        <v>1.9650499769645253</v>
      </c>
    </row>
    <row r="9" spans="2:17" ht="26.25">
      <c r="B9" s="1093">
        <v>214030</v>
      </c>
      <c r="C9" s="1094" t="s">
        <v>3397</v>
      </c>
      <c r="D9" s="1090"/>
      <c r="E9" s="605">
        <v>85574</v>
      </c>
      <c r="F9" s="607">
        <v>136126</v>
      </c>
      <c r="G9" s="606">
        <v>0</v>
      </c>
      <c r="H9" s="1097">
        <f t="shared" si="0"/>
        <v>136126</v>
      </c>
      <c r="I9" s="606">
        <v>127196.13</v>
      </c>
      <c r="J9" s="1097">
        <v>8899.2</v>
      </c>
      <c r="K9" s="606">
        <f t="shared" si="1"/>
        <v>136095.33000000002</v>
      </c>
      <c r="L9" s="1097">
        <f t="shared" si="2"/>
        <v>-8929.869999999995</v>
      </c>
      <c r="M9" s="606">
        <f t="shared" si="3"/>
        <v>-30.669999999983702</v>
      </c>
      <c r="N9" s="1098">
        <f t="shared" si="4"/>
        <v>-8929.869999999995</v>
      </c>
      <c r="O9" s="606">
        <f t="shared" si="5"/>
        <v>-30.669999999983702</v>
      </c>
      <c r="P9" s="1097">
        <v>91356.8</v>
      </c>
      <c r="Q9" s="1099">
        <f t="shared" si="6"/>
        <v>1.3923006278678762</v>
      </c>
    </row>
    <row r="10" spans="2:17" ht="26.25">
      <c r="B10" s="1093">
        <v>214040</v>
      </c>
      <c r="C10" s="1094" t="s">
        <v>3398</v>
      </c>
      <c r="D10" s="1090"/>
      <c r="E10" s="605">
        <v>67216</v>
      </c>
      <c r="F10" s="607">
        <v>90016</v>
      </c>
      <c r="G10" s="606">
        <v>0</v>
      </c>
      <c r="H10" s="1097">
        <f t="shared" si="0"/>
        <v>90016</v>
      </c>
      <c r="I10" s="606">
        <v>47873.37</v>
      </c>
      <c r="J10" s="1097">
        <v>42142.63</v>
      </c>
      <c r="K10" s="606">
        <f t="shared" si="1"/>
        <v>90016</v>
      </c>
      <c r="L10" s="1097">
        <f t="shared" si="2"/>
        <v>-42142.63</v>
      </c>
      <c r="M10" s="606">
        <f t="shared" si="3"/>
        <v>0</v>
      </c>
      <c r="N10" s="1098">
        <f t="shared" si="4"/>
        <v>-42142.63</v>
      </c>
      <c r="O10" s="606">
        <f t="shared" si="5"/>
        <v>0</v>
      </c>
      <c r="P10" s="1097">
        <v>32833.85</v>
      </c>
      <c r="Q10" s="1099">
        <f t="shared" si="6"/>
        <v>1.4580492388190847</v>
      </c>
    </row>
    <row r="11" spans="2:17" ht="15">
      <c r="B11" s="1093">
        <v>214050</v>
      </c>
      <c r="C11" s="1094" t="s">
        <v>3399</v>
      </c>
      <c r="D11" s="1090"/>
      <c r="E11" s="605">
        <v>0</v>
      </c>
      <c r="F11" s="607">
        <v>63904</v>
      </c>
      <c r="G11" s="606">
        <v>0</v>
      </c>
      <c r="H11" s="1097">
        <f t="shared" si="0"/>
        <v>63904</v>
      </c>
      <c r="I11" s="606">
        <v>57067.18</v>
      </c>
      <c r="J11" s="1097">
        <v>6836.82</v>
      </c>
      <c r="K11" s="606">
        <f t="shared" si="1"/>
        <v>63904</v>
      </c>
      <c r="L11" s="1097">
        <f t="shared" si="2"/>
        <v>-6836.82</v>
      </c>
      <c r="M11" s="606">
        <f t="shared" si="3"/>
        <v>0</v>
      </c>
      <c r="N11" s="1098">
        <f t="shared" si="4"/>
        <v>-6836.82</v>
      </c>
      <c r="O11" s="606">
        <f t="shared" si="5"/>
        <v>0</v>
      </c>
      <c r="P11" s="1097">
        <v>54167.96</v>
      </c>
      <c r="Q11" s="1099">
        <f t="shared" si="6"/>
        <v>1.0535227835790753</v>
      </c>
    </row>
    <row r="12" spans="2:17" ht="26.25">
      <c r="B12" s="1093">
        <v>214110</v>
      </c>
      <c r="C12" s="1094" t="s">
        <v>3400</v>
      </c>
      <c r="D12" s="1090"/>
      <c r="E12" s="605">
        <v>1399562</v>
      </c>
      <c r="F12" s="607">
        <v>1550007</v>
      </c>
      <c r="G12" s="606">
        <v>14736.82</v>
      </c>
      <c r="H12" s="1097">
        <f t="shared" si="0"/>
        <v>1564743.82</v>
      </c>
      <c r="I12" s="606">
        <v>1221421.57</v>
      </c>
      <c r="J12" s="1097">
        <v>343261.74</v>
      </c>
      <c r="K12" s="606">
        <f t="shared" si="1"/>
        <v>1564683.31</v>
      </c>
      <c r="L12" s="1097">
        <f t="shared" si="2"/>
        <v>-328585.42999999993</v>
      </c>
      <c r="M12" s="606">
        <f t="shared" si="3"/>
        <v>14676.310000000056</v>
      </c>
      <c r="N12" s="1098">
        <f t="shared" si="4"/>
        <v>-343322.25</v>
      </c>
      <c r="O12" s="606">
        <f t="shared" si="5"/>
        <v>-60.51000000000931</v>
      </c>
      <c r="P12" s="1097">
        <v>1117991.45</v>
      </c>
      <c r="Q12" s="1099">
        <f t="shared" si="6"/>
        <v>1.0925142316607164</v>
      </c>
    </row>
    <row r="13" spans="2:17" ht="26.25">
      <c r="B13" s="1093">
        <v>214210</v>
      </c>
      <c r="C13" s="1094" t="s">
        <v>3401</v>
      </c>
      <c r="D13" s="1090"/>
      <c r="E13" s="605">
        <v>625034</v>
      </c>
      <c r="F13" s="607">
        <v>766963</v>
      </c>
      <c r="G13" s="606">
        <v>45047</v>
      </c>
      <c r="H13" s="1097">
        <f t="shared" si="0"/>
        <v>812010</v>
      </c>
      <c r="I13" s="606">
        <v>699521.83</v>
      </c>
      <c r="J13" s="1097">
        <v>112459.12</v>
      </c>
      <c r="K13" s="606">
        <f t="shared" si="1"/>
        <v>811980.95</v>
      </c>
      <c r="L13" s="1097">
        <f t="shared" si="2"/>
        <v>-67441.17000000004</v>
      </c>
      <c r="M13" s="606">
        <f t="shared" si="3"/>
        <v>45017.94999999995</v>
      </c>
      <c r="N13" s="1098">
        <f t="shared" si="4"/>
        <v>-112488.17000000004</v>
      </c>
      <c r="O13" s="606">
        <f t="shared" si="5"/>
        <v>-29.050000000046566</v>
      </c>
      <c r="P13" s="1097">
        <v>535828.33</v>
      </c>
      <c r="Q13" s="1099">
        <f t="shared" si="6"/>
        <v>1.3054961651617039</v>
      </c>
    </row>
    <row r="14" spans="2:17" ht="26.25">
      <c r="B14" s="1093">
        <v>214410</v>
      </c>
      <c r="C14" s="1094" t="s">
        <v>3402</v>
      </c>
      <c r="D14" s="1090"/>
      <c r="E14" s="605">
        <v>237961</v>
      </c>
      <c r="F14" s="607">
        <v>677441</v>
      </c>
      <c r="G14" s="606">
        <v>0</v>
      </c>
      <c r="H14" s="1097">
        <f t="shared" si="0"/>
        <v>677441</v>
      </c>
      <c r="I14" s="606">
        <v>596031.77</v>
      </c>
      <c r="J14" s="1097">
        <v>81409.23</v>
      </c>
      <c r="K14" s="606">
        <f t="shared" si="1"/>
        <v>677441</v>
      </c>
      <c r="L14" s="1097">
        <f t="shared" si="2"/>
        <v>-81409.22999999998</v>
      </c>
      <c r="M14" s="606">
        <f t="shared" si="3"/>
        <v>0</v>
      </c>
      <c r="N14" s="1098">
        <f t="shared" si="4"/>
        <v>-81409.22999999998</v>
      </c>
      <c r="O14" s="606">
        <f t="shared" si="5"/>
        <v>0</v>
      </c>
      <c r="P14" s="1097">
        <v>248024.99</v>
      </c>
      <c r="Q14" s="1099">
        <f t="shared" si="6"/>
        <v>2.4031117590207343</v>
      </c>
    </row>
    <row r="15" spans="2:17" ht="26.25">
      <c r="B15" s="1093" t="s">
        <v>3403</v>
      </c>
      <c r="C15" s="1094" t="s">
        <v>3404</v>
      </c>
      <c r="D15" s="1090"/>
      <c r="E15" s="605">
        <v>0</v>
      </c>
      <c r="F15" s="607">
        <v>34000</v>
      </c>
      <c r="G15" s="606">
        <v>0</v>
      </c>
      <c r="H15" s="1097">
        <f t="shared" si="0"/>
        <v>34000</v>
      </c>
      <c r="I15" s="606">
        <v>27427.52</v>
      </c>
      <c r="J15" s="1097">
        <v>6572.48</v>
      </c>
      <c r="K15" s="606">
        <f t="shared" si="1"/>
        <v>34000</v>
      </c>
      <c r="L15" s="1097">
        <f t="shared" si="2"/>
        <v>-6572.48</v>
      </c>
      <c r="M15" s="606">
        <f t="shared" si="3"/>
        <v>0</v>
      </c>
      <c r="N15" s="1098">
        <f t="shared" si="4"/>
        <v>-6572.48</v>
      </c>
      <c r="O15" s="606">
        <f t="shared" si="5"/>
        <v>0</v>
      </c>
      <c r="P15" s="1097">
        <v>0</v>
      </c>
      <c r="Q15" s="1099"/>
    </row>
    <row r="16" spans="2:17" ht="15" hidden="1">
      <c r="B16" s="1093"/>
      <c r="C16" s="1094"/>
      <c r="D16" s="1090"/>
      <c r="E16" s="605"/>
      <c r="F16" s="607"/>
      <c r="G16" s="606"/>
      <c r="H16" s="1097"/>
      <c r="I16" s="606"/>
      <c r="J16" s="1097"/>
      <c r="K16" s="606"/>
      <c r="L16" s="1097"/>
      <c r="M16" s="606"/>
      <c r="N16" s="1098"/>
      <c r="O16" s="606"/>
      <c r="P16" s="1097"/>
      <c r="Q16" s="1099"/>
    </row>
    <row r="17" spans="2:17" ht="15">
      <c r="B17" s="1093">
        <v>314040</v>
      </c>
      <c r="C17" s="1094" t="s">
        <v>3405</v>
      </c>
      <c r="D17" s="1090"/>
      <c r="E17" s="605">
        <v>0</v>
      </c>
      <c r="F17" s="607">
        <v>50</v>
      </c>
      <c r="G17" s="606">
        <v>0</v>
      </c>
      <c r="H17" s="1097">
        <f t="shared" si="0"/>
        <v>50</v>
      </c>
      <c r="I17" s="606">
        <v>50</v>
      </c>
      <c r="J17" s="1097">
        <v>0</v>
      </c>
      <c r="K17" s="606">
        <f t="shared" si="1"/>
        <v>50</v>
      </c>
      <c r="L17" s="1097">
        <f t="shared" si="2"/>
        <v>0</v>
      </c>
      <c r="M17" s="606">
        <f t="shared" si="3"/>
        <v>0</v>
      </c>
      <c r="N17" s="1098">
        <f t="shared" si="4"/>
        <v>0</v>
      </c>
      <c r="O17" s="606">
        <f t="shared" si="5"/>
        <v>0</v>
      </c>
      <c r="P17" s="1097">
        <v>2396</v>
      </c>
      <c r="Q17" s="1099">
        <f t="shared" si="6"/>
        <v>0.020868113522537562</v>
      </c>
    </row>
    <row r="18" spans="2:17" ht="15" hidden="1">
      <c r="B18" s="1093"/>
      <c r="C18" s="1094"/>
      <c r="D18" s="1090"/>
      <c r="E18" s="605"/>
      <c r="F18" s="607"/>
      <c r="G18" s="606"/>
      <c r="H18" s="1097"/>
      <c r="I18" s="606"/>
      <c r="J18" s="1097"/>
      <c r="K18" s="606"/>
      <c r="L18" s="1097"/>
      <c r="M18" s="606"/>
      <c r="N18" s="1098"/>
      <c r="O18" s="606"/>
      <c r="P18" s="1097"/>
      <c r="Q18" s="1099"/>
    </row>
    <row r="19" spans="2:17" ht="15" hidden="1">
      <c r="B19" s="1093"/>
      <c r="C19" s="1094"/>
      <c r="D19" s="1090"/>
      <c r="E19" s="605"/>
      <c r="F19" s="607"/>
      <c r="G19" s="606"/>
      <c r="H19" s="1097"/>
      <c r="I19" s="606"/>
      <c r="J19" s="1097"/>
      <c r="K19" s="606"/>
      <c r="L19" s="1097"/>
      <c r="M19" s="606"/>
      <c r="N19" s="1098"/>
      <c r="O19" s="606"/>
      <c r="P19" s="1097"/>
      <c r="Q19" s="1099"/>
    </row>
    <row r="20" spans="2:17" ht="15" hidden="1">
      <c r="B20" s="1093"/>
      <c r="C20" s="1094"/>
      <c r="D20" s="1090"/>
      <c r="E20" s="605"/>
      <c r="F20" s="607"/>
      <c r="G20" s="606"/>
      <c r="H20" s="1097"/>
      <c r="I20" s="606"/>
      <c r="J20" s="1097"/>
      <c r="K20" s="606"/>
      <c r="L20" s="1097"/>
      <c r="M20" s="606"/>
      <c r="N20" s="1098"/>
      <c r="O20" s="606"/>
      <c r="P20" s="1097"/>
      <c r="Q20" s="1099"/>
    </row>
    <row r="21" spans="2:17" ht="26.25">
      <c r="B21" s="1093">
        <v>314120</v>
      </c>
      <c r="C21" s="1094" t="s">
        <v>3406</v>
      </c>
      <c r="D21" s="1090"/>
      <c r="E21" s="605">
        <v>340800</v>
      </c>
      <c r="F21" s="607">
        <v>374720</v>
      </c>
      <c r="G21" s="606">
        <v>0</v>
      </c>
      <c r="H21" s="1097">
        <f t="shared" si="0"/>
        <v>374720</v>
      </c>
      <c r="I21" s="606">
        <v>346741.66</v>
      </c>
      <c r="J21" s="1097">
        <v>27978.34</v>
      </c>
      <c r="K21" s="606">
        <f t="shared" si="1"/>
        <v>374720</v>
      </c>
      <c r="L21" s="1097">
        <f t="shared" si="2"/>
        <v>-27978.340000000026</v>
      </c>
      <c r="M21" s="606">
        <f t="shared" si="3"/>
        <v>0</v>
      </c>
      <c r="N21" s="1098">
        <f t="shared" si="4"/>
        <v>-27978.340000000026</v>
      </c>
      <c r="O21" s="606">
        <f t="shared" si="5"/>
        <v>0</v>
      </c>
      <c r="P21" s="1097">
        <v>541862.43</v>
      </c>
      <c r="Q21" s="1099">
        <f t="shared" si="6"/>
        <v>0.6399071808687676</v>
      </c>
    </row>
    <row r="22" spans="2:17" ht="15" hidden="1">
      <c r="B22" s="1093"/>
      <c r="C22" s="1094"/>
      <c r="D22" s="1090"/>
      <c r="E22" s="605"/>
      <c r="F22" s="607"/>
      <c r="G22" s="606"/>
      <c r="H22" s="1097"/>
      <c r="I22" s="606"/>
      <c r="J22" s="1097"/>
      <c r="K22" s="606"/>
      <c r="L22" s="1097"/>
      <c r="M22" s="606"/>
      <c r="N22" s="1098"/>
      <c r="O22" s="606"/>
      <c r="P22" s="1097"/>
      <c r="Q22" s="1099"/>
    </row>
    <row r="23" spans="2:17" ht="15" hidden="1">
      <c r="B23" s="1093"/>
      <c r="C23" s="1094"/>
      <c r="D23" s="1090"/>
      <c r="E23" s="605"/>
      <c r="F23" s="607"/>
      <c r="G23" s="606"/>
      <c r="H23" s="1097"/>
      <c r="I23" s="606"/>
      <c r="J23" s="1097"/>
      <c r="K23" s="606"/>
      <c r="L23" s="1097"/>
      <c r="M23" s="606"/>
      <c r="N23" s="1098"/>
      <c r="O23" s="606"/>
      <c r="P23" s="1097"/>
      <c r="Q23" s="1099"/>
    </row>
    <row r="24" spans="2:17" ht="26.25">
      <c r="B24" s="1093">
        <v>314210</v>
      </c>
      <c r="C24" s="1094" t="s">
        <v>3407</v>
      </c>
      <c r="D24" s="1090"/>
      <c r="E24" s="605">
        <v>162699</v>
      </c>
      <c r="F24" s="607">
        <v>139479</v>
      </c>
      <c r="G24" s="606">
        <v>0</v>
      </c>
      <c r="H24" s="1097">
        <f t="shared" si="0"/>
        <v>139479</v>
      </c>
      <c r="I24" s="606">
        <v>111382.24</v>
      </c>
      <c r="J24" s="1097">
        <v>28096.4</v>
      </c>
      <c r="K24" s="606">
        <f t="shared" si="1"/>
        <v>139478.64</v>
      </c>
      <c r="L24" s="1097">
        <f t="shared" si="2"/>
        <v>-28096.759999999995</v>
      </c>
      <c r="M24" s="606">
        <f t="shared" si="3"/>
        <v>-0.35999999998603016</v>
      </c>
      <c r="N24" s="1098">
        <f t="shared" si="4"/>
        <v>-28096.759999999995</v>
      </c>
      <c r="O24" s="606">
        <f t="shared" si="5"/>
        <v>-0.35999999998603016</v>
      </c>
      <c r="P24" s="1097">
        <v>80569.91</v>
      </c>
      <c r="Q24" s="1099">
        <f t="shared" si="6"/>
        <v>1.3824297433123607</v>
      </c>
    </row>
    <row r="25" spans="2:17" ht="26.25">
      <c r="B25" s="1093">
        <v>314310</v>
      </c>
      <c r="C25" s="1094" t="s">
        <v>3408</v>
      </c>
      <c r="D25" s="1090"/>
      <c r="E25" s="605">
        <v>6635</v>
      </c>
      <c r="F25" s="607">
        <v>0</v>
      </c>
      <c r="G25" s="606">
        <v>0</v>
      </c>
      <c r="H25" s="1097">
        <f t="shared" si="0"/>
        <v>0</v>
      </c>
      <c r="I25" s="606">
        <v>0</v>
      </c>
      <c r="J25" s="1097">
        <v>0</v>
      </c>
      <c r="K25" s="606">
        <f t="shared" si="1"/>
        <v>0</v>
      </c>
      <c r="L25" s="1097">
        <f t="shared" si="2"/>
        <v>0</v>
      </c>
      <c r="M25" s="606">
        <f t="shared" si="3"/>
        <v>0</v>
      </c>
      <c r="N25" s="1098">
        <f t="shared" si="4"/>
        <v>0</v>
      </c>
      <c r="O25" s="606">
        <f t="shared" si="5"/>
        <v>0</v>
      </c>
      <c r="P25" s="1097">
        <v>18521.74</v>
      </c>
      <c r="Q25" s="1099">
        <f t="shared" si="6"/>
        <v>0</v>
      </c>
    </row>
    <row r="26" spans="2:17" ht="26.25" customHeight="1">
      <c r="B26" s="1093">
        <v>314610</v>
      </c>
      <c r="C26" s="1094" t="s">
        <v>3409</v>
      </c>
      <c r="D26" s="1090"/>
      <c r="E26" s="605">
        <v>89727</v>
      </c>
      <c r="F26" s="607">
        <v>63202</v>
      </c>
      <c r="G26" s="606">
        <v>9523</v>
      </c>
      <c r="H26" s="1097">
        <f t="shared" si="0"/>
        <v>72725</v>
      </c>
      <c r="I26" s="606">
        <v>72722.92</v>
      </c>
      <c r="J26" s="1097">
        <v>0.08</v>
      </c>
      <c r="K26" s="606">
        <f t="shared" si="1"/>
        <v>72723</v>
      </c>
      <c r="L26" s="1097">
        <f t="shared" si="2"/>
        <v>9520.919999999998</v>
      </c>
      <c r="M26" s="606">
        <f t="shared" si="3"/>
        <v>9521</v>
      </c>
      <c r="N26" s="1098">
        <f t="shared" si="4"/>
        <v>-2.0800000000017462</v>
      </c>
      <c r="O26" s="606">
        <f t="shared" si="5"/>
        <v>-2</v>
      </c>
      <c r="P26" s="1097">
        <v>201083.95</v>
      </c>
      <c r="Q26" s="1099">
        <f t="shared" si="6"/>
        <v>0.36165452289951533</v>
      </c>
    </row>
    <row r="27" spans="2:17" ht="29.25" customHeight="1" thickBot="1">
      <c r="B27" s="1093">
        <v>314620</v>
      </c>
      <c r="C27" s="1094" t="s">
        <v>3410</v>
      </c>
      <c r="D27" s="1090"/>
      <c r="E27" s="605">
        <v>117525</v>
      </c>
      <c r="F27" s="607">
        <v>120453</v>
      </c>
      <c r="G27" s="606">
        <v>9867</v>
      </c>
      <c r="H27" s="1097">
        <f t="shared" si="0"/>
        <v>130320</v>
      </c>
      <c r="I27" s="606">
        <v>121869.04</v>
      </c>
      <c r="J27" s="1097">
        <v>8450.96</v>
      </c>
      <c r="K27" s="606">
        <f t="shared" si="1"/>
        <v>130320</v>
      </c>
      <c r="L27" s="1097">
        <f t="shared" si="2"/>
        <v>1416.0399999999936</v>
      </c>
      <c r="M27" s="606">
        <f t="shared" si="3"/>
        <v>9867</v>
      </c>
      <c r="N27" s="1098">
        <f t="shared" si="4"/>
        <v>-8450.960000000006</v>
      </c>
      <c r="O27" s="606">
        <f t="shared" si="5"/>
        <v>0</v>
      </c>
      <c r="P27" s="1097">
        <v>189010.69</v>
      </c>
      <c r="Q27" s="1099">
        <f t="shared" si="6"/>
        <v>0.6447732665279408</v>
      </c>
    </row>
    <row r="28" spans="2:17" ht="18.75" customHeight="1" thickBot="1">
      <c r="B28" s="1100"/>
      <c r="C28" s="1101" t="s">
        <v>2784</v>
      </c>
      <c r="D28" s="1102"/>
      <c r="E28" s="612">
        <f aca="true" t="shared" si="7" ref="E28:P28">SUM(E7:E27)</f>
        <v>3848866</v>
      </c>
      <c r="F28" s="690">
        <f t="shared" si="7"/>
        <v>4730939</v>
      </c>
      <c r="G28" s="613">
        <f t="shared" si="7"/>
        <v>79173.82</v>
      </c>
      <c r="H28" s="1103">
        <f t="shared" si="7"/>
        <v>4810112.82</v>
      </c>
      <c r="I28" s="613">
        <f t="shared" si="7"/>
        <v>3989679.0800000005</v>
      </c>
      <c r="J28" s="1103">
        <f t="shared" si="7"/>
        <v>820301.6599999999</v>
      </c>
      <c r="K28" s="613">
        <f t="shared" si="7"/>
        <v>4809980.74</v>
      </c>
      <c r="L28" s="1103">
        <f t="shared" si="7"/>
        <v>-741259.9199999998</v>
      </c>
      <c r="M28" s="613">
        <f t="shared" si="7"/>
        <v>79041.74000000005</v>
      </c>
      <c r="N28" s="1103">
        <f t="shared" si="7"/>
        <v>-820433.7399999999</v>
      </c>
      <c r="O28" s="613">
        <f t="shared" si="7"/>
        <v>-132.0800000000163</v>
      </c>
      <c r="P28" s="1103">
        <f t="shared" si="7"/>
        <v>3633671.710000001</v>
      </c>
      <c r="Q28" s="1104">
        <f t="shared" si="6"/>
        <v>1.0979745553293254</v>
      </c>
    </row>
    <row r="29" spans="2:17" ht="21" customHeight="1">
      <c r="B29" s="1100"/>
      <c r="C29" s="1105" t="s">
        <v>3411</v>
      </c>
      <c r="D29" s="1106"/>
      <c r="E29" s="1107">
        <v>0</v>
      </c>
      <c r="F29" s="240">
        <v>9500</v>
      </c>
      <c r="G29" s="679">
        <v>0</v>
      </c>
      <c r="H29" s="1740">
        <f>+F29+G29</f>
        <v>9500</v>
      </c>
      <c r="I29" s="679">
        <v>9498.21</v>
      </c>
      <c r="J29" s="680">
        <v>0</v>
      </c>
      <c r="K29" s="606">
        <f>+I29+J29</f>
        <v>9498.21</v>
      </c>
      <c r="L29" s="1097">
        <f>+I29-F29</f>
        <v>-1.7900000000008731</v>
      </c>
      <c r="M29" s="606">
        <f>+K29-F29</f>
        <v>-1.7900000000008731</v>
      </c>
      <c r="N29" s="1098">
        <f>+I29-H29</f>
        <v>-1.7900000000008731</v>
      </c>
      <c r="O29" s="606">
        <f>+K29-H29</f>
        <v>-1.7900000000008731</v>
      </c>
      <c r="P29" s="680">
        <v>10000</v>
      </c>
      <c r="Q29" s="1099">
        <f t="shared" si="6"/>
        <v>0.9498209999999999</v>
      </c>
    </row>
    <row r="30" spans="2:17" ht="20.25" customHeight="1" thickBot="1">
      <c r="B30" s="1108"/>
      <c r="C30" s="1109" t="s">
        <v>3412</v>
      </c>
      <c r="D30" s="1110"/>
      <c r="E30" s="1111">
        <v>0</v>
      </c>
      <c r="F30" s="251">
        <v>0</v>
      </c>
      <c r="G30" s="687">
        <v>0</v>
      </c>
      <c r="H30" s="1112">
        <f>+F30+G30</f>
        <v>0</v>
      </c>
      <c r="I30" s="687">
        <v>0</v>
      </c>
      <c r="J30" s="688">
        <v>0</v>
      </c>
      <c r="K30" s="606">
        <f>+I30+J30</f>
        <v>0</v>
      </c>
      <c r="L30" s="1097">
        <f>+I30-F30</f>
        <v>0</v>
      </c>
      <c r="M30" s="606">
        <f>+K30-F30</f>
        <v>0</v>
      </c>
      <c r="N30" s="1098">
        <f>+I30-H30</f>
        <v>0</v>
      </c>
      <c r="O30" s="606">
        <f>+K30-H30</f>
        <v>0</v>
      </c>
      <c r="P30" s="688">
        <v>0</v>
      </c>
      <c r="Q30" s="1113"/>
    </row>
    <row r="31" spans="2:17" ht="21" customHeight="1" thickBot="1">
      <c r="B31" s="1114"/>
      <c r="C31" s="1115" t="s">
        <v>3413</v>
      </c>
      <c r="D31" s="1116"/>
      <c r="E31" s="612">
        <f aca="true" t="shared" si="8" ref="E31:P31">+E28+E29-E30</f>
        <v>3848866</v>
      </c>
      <c r="F31" s="612">
        <f t="shared" si="8"/>
        <v>4740439</v>
      </c>
      <c r="G31" s="613">
        <f t="shared" si="8"/>
        <v>79173.82</v>
      </c>
      <c r="H31" s="613">
        <f t="shared" si="8"/>
        <v>4819612.82</v>
      </c>
      <c r="I31" s="613">
        <f t="shared" si="8"/>
        <v>3999177.2900000005</v>
      </c>
      <c r="J31" s="613">
        <f t="shared" si="8"/>
        <v>820301.6599999999</v>
      </c>
      <c r="K31" s="613">
        <f t="shared" si="8"/>
        <v>4819478.95</v>
      </c>
      <c r="L31" s="613">
        <f t="shared" si="8"/>
        <v>-741261.7099999998</v>
      </c>
      <c r="M31" s="613">
        <f t="shared" si="8"/>
        <v>79039.95000000004</v>
      </c>
      <c r="N31" s="613">
        <f t="shared" si="8"/>
        <v>-820435.5299999999</v>
      </c>
      <c r="O31" s="613">
        <f t="shared" si="8"/>
        <v>-133.87000000001717</v>
      </c>
      <c r="P31" s="613">
        <f t="shared" si="8"/>
        <v>3643671.710000001</v>
      </c>
      <c r="Q31" s="1117">
        <f t="shared" si="6"/>
        <v>1.0975679502147024</v>
      </c>
    </row>
    <row r="32" ht="17.25" customHeight="1">
      <c r="C32" s="1118"/>
    </row>
    <row r="33" spans="2:16" s="221" customFormat="1" ht="15">
      <c r="B33" s="221" t="s">
        <v>3414</v>
      </c>
      <c r="C33" s="1119"/>
      <c r="J33" s="221" t="s">
        <v>3415</v>
      </c>
      <c r="P33" s="221" t="s">
        <v>3758</v>
      </c>
    </row>
    <row r="34" s="221" customFormat="1" ht="15">
      <c r="C34" s="1119"/>
    </row>
    <row r="35" s="221" customFormat="1" ht="15">
      <c r="C35" s="1119"/>
    </row>
  </sheetData>
  <mergeCells count="1">
    <mergeCell ref="P1:Q1"/>
  </mergeCells>
  <printOptions/>
  <pageMargins left="0" right="0.1968503937007874" top="0.984251968503937" bottom="0" header="0.5118110236220472" footer="0.5118110236220472"/>
  <pageSetup fitToHeight="1" fitToWidth="1" horizontalDpi="600" verticalDpi="600" orientation="landscape" paperSize="9" scale="61" r:id="rId1"/>
  <headerFooter alignWithMargins="0">
    <oddFooter>&amp;C&amp;14 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cp:lastPrinted>2006-02-21T11:25:04Z</cp:lastPrinted>
  <dcterms:created xsi:type="dcterms:W3CDTF">2005-01-31T11:59:30Z</dcterms:created>
  <dcterms:modified xsi:type="dcterms:W3CDTF">2006-03-20T09:18:46Z</dcterms:modified>
  <cp:category/>
  <cp:version/>
  <cp:contentType/>
  <cp:contentStatus/>
</cp:coreProperties>
</file>