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2120" windowHeight="8835" tabRatio="929" firstSheet="7" activeTab="11"/>
  </bookViews>
  <sheets>
    <sheet name="tab 11 důchody" sheetId="1" r:id="rId1"/>
    <sheet name="tab 12 ostsoc" sheetId="2" r:id="rId2"/>
    <sheet name="Tab 13 OPF" sheetId="3" r:id="rId3"/>
    <sheet name="tab13-1 OPF" sheetId="4" r:id="rId4"/>
    <sheet name="13-2 OPF (1)" sheetId="5" r:id="rId5"/>
    <sheet name="13-2 OPF (2)" sheetId="6" r:id="rId6"/>
    <sheet name="13-2 OPF (3)" sheetId="7" r:id="rId7"/>
    <sheet name="13-2 OPF (4)" sheetId="8" r:id="rId8"/>
    <sheet name="13-3 OPF (1)" sheetId="9" r:id="rId9"/>
    <sheet name="13-3 OPF (2)" sheetId="10" r:id="rId10"/>
    <sheet name="13-3 OPF (3)" sheetId="11" r:id="rId11"/>
    <sheet name="13-3 OPF (4)" sheetId="12" r:id="rId12"/>
    <sheet name="tab.14-výd.čtvrtl." sheetId="13" r:id="rId13"/>
    <sheet name="tab15 HZS " sheetId="14" r:id="rId14"/>
    <sheet name="tab 16 PČR" sheetId="15" r:id="rId15"/>
    <sheet name="tab.17 škol." sheetId="16" r:id="rId16"/>
    <sheet name="tab.18 arch." sheetId="17" r:id="rId17"/>
    <sheet name="tab 19 vývoj čerp" sheetId="18" r:id="rId18"/>
    <sheet name="org.schéma MV" sheetId="19" r:id="rId19"/>
  </sheets>
  <externalReferences>
    <externalReference r:id="rId22"/>
  </externalReferences>
  <definedNames>
    <definedName name="AccessDatabase">"C:\Dokumenty\Borisek\Excel\1998\ROZPIS1998\1LEDEN1998\akce98-1.mdb"</definedName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TABULKA_1">#N/A</definedName>
    <definedName name="TABULKA_2">#N/A</definedName>
    <definedName name="UOHS">'[1]301-KPR'!#REF!</definedName>
    <definedName name="UPV">'[1]301-KPR'!#REF!</definedName>
    <definedName name="US">'[1]301-KPR'!#REF!</definedName>
    <definedName name="USIS">'[1]301-KPR'!#REF!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<sst xmlns="http://schemas.openxmlformats.org/spreadsheetml/2006/main" count="884" uniqueCount="458">
  <si>
    <t>ORGANIZAĆNÍ SLOŽKA STÁTU - Správa základních registrů</t>
  </si>
  <si>
    <t>STÁTU - Archivy</t>
  </si>
  <si>
    <t>Krajské ředitelství policie Jihočeského kraje se sídlem v Č. Budějovicích</t>
  </si>
  <si>
    <t>Krajské ředitelství policie Karlovarského kraje se sídlem v Karlových Varech</t>
  </si>
  <si>
    <t>Krajské ředitelství policie Libereckého kraje se sídlem v Liberci</t>
  </si>
  <si>
    <t>Krajské ředitelství policie Královéhradeckého kraje se sídlem                        v Hradci Králové</t>
  </si>
  <si>
    <t>Krajské ředitelství policie Pardubického kraje se sídlem v Pardubicích</t>
  </si>
  <si>
    <t>Krajské ředitelství policie Kraje Vysočina se sídlem v Jihlavě</t>
  </si>
  <si>
    <t>Krajské ředitelství policie Zlínského kraje se sídlem ve Zlíně</t>
  </si>
  <si>
    <t>Krajské ředitelství policie Olomouckého kraje se sídlem v Olomouci</t>
  </si>
  <si>
    <t>Krajské ředitelství policie Moravskoslezského kraje se sídlem          v Ostravě</t>
  </si>
  <si>
    <t xml:space="preserve"> MINISTERSTVO VNITRA  ČR</t>
  </si>
  <si>
    <t>ORGANIZAČNÍ SLOŽKY STÁTU</t>
  </si>
  <si>
    <t xml:space="preserve"> - krajská ředitelství P ČR</t>
  </si>
  <si>
    <t>Krajské ředitelství policie hl. m. Prahy se sídlem v Praze</t>
  </si>
  <si>
    <t>Krajské ředitelství policie Středočeského kraje se sídlem v Praze</t>
  </si>
  <si>
    <t>Krajské ředitelství policie Plzeňského kraje se sídlem v Plzni</t>
  </si>
  <si>
    <t>Školské účelové zařízení v Praze - Ruzyni</t>
  </si>
  <si>
    <t>Krajské ředitelství policie Ústeckého kraje se sídlem v Ústí n. Labem</t>
  </si>
  <si>
    <t>Krajské ředitelství policie Jihomoravského kraje se sídlem v Brně</t>
  </si>
  <si>
    <t>Zařízení služeb  pro MV</t>
  </si>
  <si>
    <t>Střední odborná škola PO a Vyšší odborná škola PO ve Frýdku-Místku</t>
  </si>
  <si>
    <t>4/</t>
  </si>
  <si>
    <t>Muzeum  Policie ČR</t>
  </si>
  <si>
    <t>Bytová správa  MV</t>
  </si>
  <si>
    <t>Správa uprchlických zařízení  MV</t>
  </si>
  <si>
    <t>Tiskárna   MV</t>
  </si>
  <si>
    <t>Centrum sportu MV</t>
  </si>
  <si>
    <t>Zdravotnické zařízení MV</t>
  </si>
  <si>
    <t>záchranný útvar HZS</t>
  </si>
  <si>
    <r>
      <t xml:space="preserve">3/ </t>
    </r>
    <r>
      <rPr>
        <sz val="10"/>
        <rFont val="Arial CE"/>
        <family val="2"/>
      </rPr>
      <t>Příspěvková organizace odměňující své zaměstnance dle z. č. 143/1992 Sb.</t>
    </r>
  </si>
  <si>
    <r>
      <t>3/</t>
    </r>
    <r>
      <rPr>
        <sz val="10"/>
        <rFont val="Arial CE"/>
        <family val="2"/>
      </rPr>
      <t xml:space="preserve">  Příspěvkové organizace odměňující své zaměstnance dle § 109 odst. 3 z. č. 262/2006 Sb.</t>
    </r>
  </si>
  <si>
    <r>
      <t xml:space="preserve">4/ </t>
    </r>
    <r>
      <rPr>
        <sz val="10"/>
        <rFont val="Arial CE"/>
        <family val="2"/>
      </rPr>
      <t>Příspěvková organizace odměňující své zaměstnance dle z. č. 1/1992 Sb.</t>
    </r>
  </si>
  <si>
    <r>
      <t>4/</t>
    </r>
    <r>
      <rPr>
        <sz val="10"/>
        <rFont val="Arial CE"/>
        <family val="2"/>
      </rPr>
      <t xml:space="preserve">  Příspěvkové organizace odměňující své zaměstnance dle § 109 odst. 2 z. č. 262/2006 Sb.</t>
    </r>
  </si>
  <si>
    <t>Plzeňský kraj</t>
  </si>
  <si>
    <t>N</t>
  </si>
  <si>
    <t>Státní oblastní archiv
v Litoměřicích</t>
  </si>
  <si>
    <t>P</t>
  </si>
  <si>
    <t>Pardubický kraj</t>
  </si>
  <si>
    <r>
      <t xml:space="preserve">2/ </t>
    </r>
    <r>
      <rPr>
        <sz val="10"/>
        <rFont val="Arial CE"/>
        <family val="2"/>
      </rPr>
      <t xml:space="preserve"> Územní pracoviště  OSS MV </t>
    </r>
  </si>
  <si>
    <t>Á</t>
  </si>
  <si>
    <t>Státní oblastní archiv
v Třeboni</t>
  </si>
  <si>
    <t>Jihočeský kraj</t>
  </si>
  <si>
    <t>Státní oblastní archiv
v Plzni</t>
  </si>
  <si>
    <t>R</t>
  </si>
  <si>
    <t>kraj Vysočina</t>
  </si>
  <si>
    <t>ORGANIZAČNÍ</t>
  </si>
  <si>
    <t>1/</t>
  </si>
  <si>
    <t>ORGANIZAČNÍ SLOŽKY</t>
  </si>
  <si>
    <t>OSTATNÍ ORGANIZAČNÍ</t>
  </si>
  <si>
    <t>STÁTNÍ</t>
  </si>
  <si>
    <t>SLOŽKA STÁTU  MV</t>
  </si>
  <si>
    <t>STÁTU - HZS krajů</t>
  </si>
  <si>
    <t xml:space="preserve"> SLOŽKY STÁTU</t>
  </si>
  <si>
    <t>PŘÍSPĚVKOVÉ  ORGANIZACE</t>
  </si>
  <si>
    <t>2/</t>
  </si>
  <si>
    <t>S</t>
  </si>
  <si>
    <t xml:space="preserve"> Praha hl.m.</t>
  </si>
  <si>
    <t>T</t>
  </si>
  <si>
    <t>Státní oblastní archiv
v Praze</t>
  </si>
  <si>
    <t>Středočeský kraj</t>
  </si>
  <si>
    <t>Jihomoravský kraj</t>
  </si>
  <si>
    <t>V</t>
  </si>
  <si>
    <t>Zlínský kraj</t>
  </si>
  <si>
    <t>A</t>
  </si>
  <si>
    <t>Olomoucký kraj</t>
  </si>
  <si>
    <t>Moravskoslezský kraj</t>
  </si>
  <si>
    <t>Poznámka:</t>
  </si>
  <si>
    <r>
      <t>1/</t>
    </r>
    <r>
      <rPr>
        <sz val="10"/>
        <rFont val="Arial CE"/>
        <family val="2"/>
      </rPr>
      <t xml:space="preserve">  Hospodaří jako organizační složka státu MV</t>
    </r>
  </si>
  <si>
    <t>Národní archiv</t>
  </si>
  <si>
    <t>Policejní akademie ČR</t>
  </si>
  <si>
    <t>VPŠ a SPŠ MV v Holešově</t>
  </si>
  <si>
    <t>VPŠ MV v Pardubicích</t>
  </si>
  <si>
    <t>Karlovarský kraj</t>
  </si>
  <si>
    <t>Í</t>
  </si>
  <si>
    <t>Státní oblastní archiv
v Zámrsku</t>
  </si>
  <si>
    <t>Ústecký kraj</t>
  </si>
  <si>
    <t>Moravský zemský archiv
v Brně</t>
  </si>
  <si>
    <t>Liberecký kraj</t>
  </si>
  <si>
    <t>3/</t>
  </si>
  <si>
    <t>Zemský archiv v Opavě</t>
  </si>
  <si>
    <t>Královéhradecký kraj</t>
  </si>
  <si>
    <t>VPŠ MV v Brně</t>
  </si>
  <si>
    <t>VPŠ MV v Jihlavě</t>
  </si>
  <si>
    <t>VPŠ MV v Praze</t>
  </si>
  <si>
    <t>vlastní ministerstvo</t>
  </si>
  <si>
    <t>Generální ředitelství HZS ČR                 a zařízení GŘ HZS</t>
  </si>
  <si>
    <t xml:space="preserve">Správa logistického zabezpečení PP ČR a útvary policie s celostátní působností                                                        </t>
  </si>
  <si>
    <t>Institut pro veřejnou správu Praha</t>
  </si>
  <si>
    <t xml:space="preserve">Tabulka č. 13/1 = zvláštní soubor </t>
  </si>
  <si>
    <t>Organizační schéma kapitoly 314 - Ministerstva vnitra s vyjádřením kompetenčního uspořádání mezi ústředním orgánem a jím zřízenými OSS a příspěvkovými organizacemi se stavem k 31. 12. 2012</t>
  </si>
  <si>
    <t>v tis. Kč</t>
  </si>
  <si>
    <t>HZS krajů</t>
  </si>
  <si>
    <t xml:space="preserve"> Mzdové prostředky</t>
  </si>
  <si>
    <t>Povinné pojistné</t>
  </si>
  <si>
    <t>FKSP</t>
  </si>
  <si>
    <t>Ostatní běžné výdaje</t>
  </si>
  <si>
    <t>Výdaje na financov. programů</t>
  </si>
  <si>
    <t>Ostatní sociální dávky</t>
  </si>
  <si>
    <t>Výzkum a vývoj</t>
  </si>
  <si>
    <t>Zahraniční rozvojová spolupráce</t>
  </si>
  <si>
    <t xml:space="preserve"> Výdaje CELKEM</t>
  </si>
  <si>
    <t>R1</t>
  </si>
  <si>
    <t>R2</t>
  </si>
  <si>
    <t>čerpání</t>
  </si>
  <si>
    <t xml:space="preserve">hl. m. Praha 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</si>
  <si>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</si>
  <si>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</si>
  <si>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</si>
  <si>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</si>
  <si>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</si>
  <si>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</si>
  <si>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</si>
  <si>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</si>
  <si>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</si>
  <si>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</si>
  <si>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Zlínský</t>
  </si>
  <si>
    <t>Moravskoslezský</t>
  </si>
  <si>
    <t>Olomoucký</t>
  </si>
  <si>
    <t>ZÚ HZS ČR</t>
  </si>
  <si>
    <t>rezerva</t>
  </si>
  <si>
    <t>Celkem HZS krajů</t>
  </si>
  <si>
    <t>SOŠ PO a VOŠ PO F-M</t>
  </si>
  <si>
    <t>GŘ HZS ČR</t>
  </si>
  <si>
    <t>CELKEM</t>
  </si>
  <si>
    <t>Vypracovala: Ing.Psohlavcová, tel. 974 849 264</t>
  </si>
  <si>
    <t>Kapitola: 314 - Ministerstvo vnitra</t>
  </si>
  <si>
    <t>Tabulka č. 15</t>
  </si>
  <si>
    <t>Kontrolovala: Ing. Mikulová, tel. 974 849327</t>
  </si>
  <si>
    <t>Výdaje za oblast policejního školství a Muzea Policie ČR v roce 2012</t>
  </si>
  <si>
    <t>Sociální dávky celkem</t>
  </si>
  <si>
    <t>Mzdové prostředky</t>
  </si>
  <si>
    <t>Výdaje na financování programů</t>
  </si>
  <si>
    <t>Převod</t>
  </si>
  <si>
    <t>VÝDAJE  CELKEM</t>
  </si>
  <si>
    <t>OSS</t>
  </si>
  <si>
    <t>do RF</t>
  </si>
  <si>
    <t>VPŠ MV Praha</t>
  </si>
  <si>
    <t>VPŠ MV Brno</t>
  </si>
  <si>
    <t>VPŠ a SPŠ MV Holešov</t>
  </si>
  <si>
    <t>VPŠ MV Jihlava</t>
  </si>
  <si>
    <t>VPŠ MV Pardubice</t>
  </si>
  <si>
    <t>Školské účel. zařízení MV Ruzyně</t>
  </si>
  <si>
    <t>Policejní školství celkem</t>
  </si>
  <si>
    <t>Muzeum PČR</t>
  </si>
  <si>
    <t>nerozepsané prostředky</t>
  </si>
  <si>
    <t>Zpracovala: Ladrová, tel. 974 849 236</t>
  </si>
  <si>
    <t>Kontrolovala: Ing. Mikulová, tel. 974 849 327</t>
  </si>
  <si>
    <t>Datum: 18. února 2013</t>
  </si>
  <si>
    <t>Schválený rozpočet</t>
  </si>
  <si>
    <t>Název programu</t>
  </si>
  <si>
    <t>Prostředky státního rozpočtu</t>
  </si>
  <si>
    <t>Prostředky státního rozpočtu určené na spolufinancování</t>
  </si>
  <si>
    <t>Prostředky Evropské unie</t>
  </si>
  <si>
    <t>Prostředky                   z finančních mechanismů</t>
  </si>
  <si>
    <t>Celkem</t>
  </si>
  <si>
    <t>114 020 - Rozvoj a obnova materiálně-technické základny školství, vzdělávání a tělovýchovy</t>
  </si>
  <si>
    <t>114 030 - Rozvoj a obnova materiálně-technické základny státních archivů</t>
  </si>
  <si>
    <t>114 040 - Rozvoj a obnova materiálně-technické základny organizací služeb resortu MV</t>
  </si>
  <si>
    <t>114 050 - Podpora prevence kriminality</t>
  </si>
  <si>
    <t>114 060 - Mezinárodní spolupráce a aktivní zapojení do formování azylové a migrační politiky v rámci EU</t>
  </si>
  <si>
    <t>114 070 - Programy spolufinancované z rozpočtu EU – IOP a OP LZZ</t>
  </si>
  <si>
    <t>114 110 - Rozvoj a obnova materiálně-technické základny Policie ČR</t>
  </si>
  <si>
    <t>114 210 - Reprodukce majetku HZS ČR</t>
  </si>
  <si>
    <t>114 240 - Pořizování a obnova majetku HZS ČR</t>
  </si>
  <si>
    <t>114 410 - E - Government</t>
  </si>
  <si>
    <t>214 020 - Rozvoj a obnova materiálně-technické základny školství, vzdělávání a tělovýchovy</t>
  </si>
  <si>
    <t>214 030 - Rozvoj a obnova materiálně-technické základny státních archivů</t>
  </si>
  <si>
    <t>214 110 - Rozvoj a obnova materiálně-technické základny Policie ČR</t>
  </si>
  <si>
    <t xml:space="preserve">214 910 - Výstavba informačních a komunikačních systémů a sítí resortu MV </t>
  </si>
  <si>
    <t xml:space="preserve">Ministerstvo vnitra celkem </t>
  </si>
  <si>
    <t>Rozpočet po změnách</t>
  </si>
  <si>
    <t>Čerpání včetně zapojených a vyčerpaných doplňkových zdrojů</t>
  </si>
  <si>
    <t>Prostředky   z finančních mechanismů</t>
  </si>
  <si>
    <t>Nároky z nespotřebovaných výdajů vzniklé ze SR</t>
  </si>
  <si>
    <t>Nároky z nespotřebovaných výdajů vzniklé ze SR - spolufinancování</t>
  </si>
  <si>
    <t xml:space="preserve">Nároky z nespotřebovaných výdajů EU (rezervní fond EU*) </t>
  </si>
  <si>
    <t xml:space="preserve">Nároky z nespotřebovaných výdajů z finančních mechanismů </t>
  </si>
  <si>
    <t>Dary a FKSP</t>
  </si>
  <si>
    <t>Příjmy HZS dle § 45 zákona č. 218/2000 Sb.</t>
  </si>
  <si>
    <t>182 *</t>
  </si>
  <si>
    <t>Převody do nároků z nespotřebovaných výdajů</t>
  </si>
  <si>
    <t>Prostředky                          z finančních mechanismů</t>
  </si>
  <si>
    <t xml:space="preserve">214 910 - Výstavba informačních a komunikačních systémů          a sítí resortu MV </t>
  </si>
  <si>
    <t>Vypracoval : Ing. Lefler, tel. 974 849 231</t>
  </si>
  <si>
    <t>Kontroloval: M. Štěpánek, tel. 974 849 205</t>
  </si>
  <si>
    <t>Přehled výdajů programového financování v jednotlivých výdajových blocích</t>
  </si>
  <si>
    <t>Výdajový blok</t>
  </si>
  <si>
    <t>Program</t>
  </si>
  <si>
    <t>Výdaje Policie ČR</t>
  </si>
  <si>
    <t>Výdaje Hasičského záchranného sboru ČR</t>
  </si>
  <si>
    <t>Výdaje na zabezpečení činností ostatních organizačních složek státu</t>
  </si>
  <si>
    <t>Výdaje na programy spolufinancované z rozpočtu EU – IOP a OP LZZ</t>
  </si>
  <si>
    <t>Výdaje na sportovní reprezentaci</t>
  </si>
  <si>
    <t>Prostředky z finančních mechanismů</t>
  </si>
  <si>
    <t>Nároky z nespotřebovaných výdajů EU (rezervní fond EU*)</t>
  </si>
  <si>
    <t>Nároky z nespotřebovaných výdajů z finančních mechanismů</t>
  </si>
  <si>
    <t>Výdaje na programy spolufinancované z rozpočtu EU – IOP    a OP LZZ</t>
  </si>
  <si>
    <t>Přehled o výdajích na financování programů reprodukce majetku v roce 2012 dle jednotlivých programů</t>
  </si>
  <si>
    <t>Investiční program resp. podprogram</t>
  </si>
  <si>
    <t>Název</t>
  </si>
  <si>
    <t xml:space="preserve">Schválený rozpočet            (R1)                 </t>
  </si>
  <si>
    <t>Konečný rozpočet</t>
  </si>
  <si>
    <t>Čerpání v roce 2012</t>
  </si>
  <si>
    <t>Nespotřebované výdaje státního rozpočtu roku 2012</t>
  </si>
  <si>
    <t>Porovnání čerpání v roce 2012 ve vztahu k R2</t>
  </si>
  <si>
    <t>Porovnání čerpání v roce 2012 ve vztahu ke konečnému rozpočtu</t>
  </si>
  <si>
    <t>Čerpání
v roce
2011</t>
  </si>
  <si>
    <t>Porovnání čerpání 2012/2011     (sloupec 5:9)</t>
  </si>
  <si>
    <t>114020</t>
  </si>
  <si>
    <t>Rozvoj a obnova materiálně-technické základny školství, vzdělávání a tělovýchovy</t>
  </si>
  <si>
    <t>114030</t>
  </si>
  <si>
    <t>Rozvoj a obnova materiálně-technické základny státních archivů</t>
  </si>
  <si>
    <t>114040</t>
  </si>
  <si>
    <t>Rozvoj a obnova mat. tech. základny organizací služeb resortu MV</t>
  </si>
  <si>
    <t>114050</t>
  </si>
  <si>
    <t>Podpora prevence kriminality</t>
  </si>
  <si>
    <t>114060</t>
  </si>
  <si>
    <t>Podpora mezinárodní spolupráce a aktivní zapojení do formulování azylové a migrační politiky v rámci Evropské unie</t>
  </si>
  <si>
    <t>***,**</t>
  </si>
  <si>
    <t>114070</t>
  </si>
  <si>
    <t>Programy spolufinancováné z rozpočtu EU - IOP a OP LZZ</t>
  </si>
  <si>
    <t>114110</t>
  </si>
  <si>
    <t>Rozvoj a obnova materiálně-technické základny Policie ČR</t>
  </si>
  <si>
    <t>114210</t>
  </si>
  <si>
    <t>Reprodukce majetku HZS ČR</t>
  </si>
  <si>
    <t>Periodická obnova základní požární techniky jednotek zařazených do plošného pokrytí</t>
  </si>
  <si>
    <t>114240</t>
  </si>
  <si>
    <t>Pořizování a obnova majetku HZS ČR</t>
  </si>
  <si>
    <t>e-Government</t>
  </si>
  <si>
    <t xml:space="preserve">Rozvoj a obnova materiálně-technické základny hasičského záchranného sboru </t>
  </si>
  <si>
    <t>214910</t>
  </si>
  <si>
    <t xml:space="preserve">Výstavba informačních a komunikačních systémů a sítí MV </t>
  </si>
  <si>
    <t>Vypracoval : Štěpánek, tel. 974849205</t>
  </si>
  <si>
    <t>Kontroloval:  JUDr. Šváb, tel. 974849238</t>
  </si>
  <si>
    <t>Přehled čerpání výdajů v roce 2012 dle jednotlivých čtvrtletích</t>
  </si>
  <si>
    <t xml:space="preserve">    Čerpání </t>
  </si>
  <si>
    <t>z toho</t>
  </si>
  <si>
    <t>celkem</t>
  </si>
  <si>
    <t>I. čtvrtletí</t>
  </si>
  <si>
    <t>II. čtvrtletí</t>
  </si>
  <si>
    <t>III. čtvrtletí</t>
  </si>
  <si>
    <t>IV. čtvrtletí</t>
  </si>
  <si>
    <t>OSS, SPO</t>
  </si>
  <si>
    <t xml:space="preserve">% </t>
  </si>
  <si>
    <t>%</t>
  </si>
  <si>
    <t>PP ČR</t>
  </si>
  <si>
    <t xml:space="preserve">KŘ Policie ČR </t>
  </si>
  <si>
    <t xml:space="preserve">Policie ČR </t>
  </si>
  <si>
    <t xml:space="preserve">GŘ HZS </t>
  </si>
  <si>
    <t xml:space="preserve">ms HZS ČR </t>
  </si>
  <si>
    <t>SOA Praha</t>
  </si>
  <si>
    <t>SOA Třeboň</t>
  </si>
  <si>
    <t>SOA Plzeň</t>
  </si>
  <si>
    <t>SOA Litoměřice</t>
  </si>
  <si>
    <t>SOA Zámrsk</t>
  </si>
  <si>
    <t>MZA Brno</t>
  </si>
  <si>
    <t>ZA Opava</t>
  </si>
  <si>
    <t>ms archivy</t>
  </si>
  <si>
    <t>ŠÚZ MV Ruzyně</t>
  </si>
  <si>
    <t>Muzeum P ČR</t>
  </si>
  <si>
    <t xml:space="preserve">ms resortní školství a Muzeum P ČR </t>
  </si>
  <si>
    <t>LLÚ MV</t>
  </si>
  <si>
    <t>Tiskárna MV</t>
  </si>
  <si>
    <t xml:space="preserve">ms SPO </t>
  </si>
  <si>
    <t>Celkem MV</t>
  </si>
  <si>
    <t>Legenda:</t>
  </si>
  <si>
    <t xml:space="preserve">Čerpání celkem zahrnuje nároky z nespotřebovaných výdajů  roků 2008, 2009, 2010 a 2011, mimorozpočtové zdroje a prostředky, o které byly OSS oprávněny překročit závazné ukazatele. </t>
  </si>
  <si>
    <t>% - čerpání po čtvrtletích k celkovému čerpání</t>
  </si>
  <si>
    <t>Vypracovala: Ing. Meluzinova, tel. 974 849 662</t>
  </si>
  <si>
    <t>Tabulka č. 14</t>
  </si>
  <si>
    <t xml:space="preserve">Výdaje za oblast archivnictví v roce 2012 </t>
  </si>
  <si>
    <t xml:space="preserve">    Ostatní běžné výdaje</t>
  </si>
  <si>
    <t>Státní oblastní archiv Praha</t>
  </si>
  <si>
    <t>Státní oblastní archiv Třeboň</t>
  </si>
  <si>
    <t>Státní oblastní archiv Plzeň</t>
  </si>
  <si>
    <t>Státní oblastní archiv Litoměřice</t>
  </si>
  <si>
    <t>Státní oblastní archiv Zámrsk</t>
  </si>
  <si>
    <t>Moravský zemský archiv Brno</t>
  </si>
  <si>
    <t>Zemský archiv Opava</t>
  </si>
  <si>
    <t>ARCHIVNICTVÍ  CELKEM</t>
  </si>
  <si>
    <t>Zpracovala: Ing. Bočanová, tel. 974 849 815</t>
  </si>
  <si>
    <t xml:space="preserve">           Tabulka č. 18</t>
  </si>
  <si>
    <t>Kapitola 314 - Ministerstvo vnitra</t>
  </si>
  <si>
    <t>Tabulka č. 11</t>
  </si>
  <si>
    <t>Přehled o důchodech v roce 2012</t>
  </si>
  <si>
    <t>v Kč</t>
  </si>
  <si>
    <t>Druh dávky</t>
  </si>
  <si>
    <t xml:space="preserve">Porovnání čerpání  v roce 2012 s upraveným rozpočtem (R2)             </t>
  </si>
  <si>
    <t xml:space="preserve">Porovnání čerpání          2012/2011             (v %)      </t>
  </si>
  <si>
    <t xml:space="preserve">Počet vyplácených důchodů                          </t>
  </si>
  <si>
    <t xml:space="preserve">Průměrná vyplácená výše důchodu                  </t>
  </si>
  <si>
    <t>Počet                                        nově přiznaných důchodů v roce 2012</t>
  </si>
  <si>
    <t>v %</t>
  </si>
  <si>
    <t>k 31.12. 2012</t>
  </si>
  <si>
    <t>k 31.12.2011</t>
  </si>
  <si>
    <t xml:space="preserve">  v roce 2012</t>
  </si>
  <si>
    <t xml:space="preserve"> v roce 2011</t>
  </si>
  <si>
    <t>a</t>
  </si>
  <si>
    <t>4 = 3 - 2</t>
  </si>
  <si>
    <t>5 = 3 : 2</t>
  </si>
  <si>
    <t>7 = 3 : 6</t>
  </si>
  <si>
    <t>8</t>
  </si>
  <si>
    <t>9</t>
  </si>
  <si>
    <t>10</t>
  </si>
  <si>
    <t>11</t>
  </si>
  <si>
    <t>12</t>
  </si>
  <si>
    <t>13</t>
  </si>
  <si>
    <t xml:space="preserve"> Důchody celkem</t>
  </si>
  <si>
    <t>x</t>
  </si>
  <si>
    <t>v tom :</t>
  </si>
  <si>
    <t>Důchody starobní</t>
  </si>
  <si>
    <t>Invalidní důchod pro invaliditu III. stupně</t>
  </si>
  <si>
    <t>Důchody plné invalidní</t>
  </si>
  <si>
    <t>Invalidní důchod pro invaliditu II. stupně</t>
  </si>
  <si>
    <t xml:space="preserve">Důchody částečně invalidní </t>
  </si>
  <si>
    <t>Invalidní důchod pro invaliditu I. stupně</t>
  </si>
  <si>
    <t>Důchody vdovské</t>
  </si>
  <si>
    <t>z toho:</t>
  </si>
  <si>
    <t>5a</t>
  </si>
  <si>
    <t xml:space="preserve"> sólo</t>
  </si>
  <si>
    <t>X</t>
  </si>
  <si>
    <t>4a</t>
  </si>
  <si>
    <t>5b</t>
  </si>
  <si>
    <t>v souběhu</t>
  </si>
  <si>
    <t>4b</t>
  </si>
  <si>
    <t>Důchody vdovecké</t>
  </si>
  <si>
    <t>6a</t>
  </si>
  <si>
    <t>6b</t>
  </si>
  <si>
    <t>Důchody sirotčí</t>
  </si>
  <si>
    <t>Vypracoval: Ing. Zachař, tel. 974 849 816</t>
  </si>
  <si>
    <t>Tabulka č. 12</t>
  </si>
  <si>
    <t>Přehled o  ostatních dávkách a dávkách nemocenského pojištění  v roce 2012</t>
  </si>
  <si>
    <t xml:space="preserve"> </t>
  </si>
  <si>
    <t xml:space="preserve">Schválený rozpočet            (R1)               </t>
  </si>
  <si>
    <t>Čerpání v roce 2011</t>
  </si>
  <si>
    <t>Porovnání čerpání 2012/2011     v %            (sl. 3:4)</t>
  </si>
  <si>
    <t>Počet
příjemců  dávky k 31.12. 2012</t>
  </si>
  <si>
    <t>Počet
příjemců dávky k 31.12.2011</t>
  </si>
  <si>
    <t xml:space="preserve">Průměrná výše dávky v roce 2012       v Kč   </t>
  </si>
  <si>
    <t>Průměrná výše dávky v roce 2011      v Kč</t>
  </si>
  <si>
    <t>4</t>
  </si>
  <si>
    <t>5</t>
  </si>
  <si>
    <t>6</t>
  </si>
  <si>
    <t>7</t>
  </si>
  <si>
    <t>Ostatní dávky celkem</t>
  </si>
  <si>
    <t>(účet s předčíslím 3025)</t>
  </si>
  <si>
    <t>Výsluhový příspěvek</t>
  </si>
  <si>
    <t>Úmrtné</t>
  </si>
  <si>
    <t>Odchodné</t>
  </si>
  <si>
    <t>Ostatní soc. dávky příslušníků</t>
  </si>
  <si>
    <t>Dávky nemocenského pojištění celkem</t>
  </si>
  <si>
    <t>(účet s předčíslím 027)</t>
  </si>
  <si>
    <t>Nemocenské</t>
  </si>
  <si>
    <t>Peněžitá pomoc v mateřství</t>
  </si>
  <si>
    <t>Vyrovnávací přísp. v těhot. a mateřství</t>
  </si>
  <si>
    <t>Dávky jinde nezařazené</t>
  </si>
  <si>
    <t>Policie ČR                                   (bez IOP a OPLZZ)</t>
  </si>
  <si>
    <t xml:space="preserve">KŘ hl. m. Prahy </t>
  </si>
  <si>
    <t>KŘ Středočeského kraje</t>
  </si>
  <si>
    <t>KŘ Jihočeského kraje</t>
  </si>
  <si>
    <t>KŘ Plzeňského kraje</t>
  </si>
  <si>
    <t>KŘ Karlovarského kraje</t>
  </si>
  <si>
    <t>KŘ Ústeckého kraje</t>
  </si>
  <si>
    <t>KŘ Libereckého kraje</t>
  </si>
  <si>
    <t>KŘ Královéhradeckého kraje</t>
  </si>
  <si>
    <t>KŘ Pardubického kraje</t>
  </si>
  <si>
    <t>KŘ kraje Vysočina</t>
  </si>
  <si>
    <t>KŘ Jihomoravského kraje</t>
  </si>
  <si>
    <t>KŘ Zlínského kraje</t>
  </si>
  <si>
    <t>KŘ Olomouckého kraje</t>
  </si>
  <si>
    <t>KŘ Moravskoslezského kraje</t>
  </si>
  <si>
    <t>Rezerva krajských ředitelství</t>
  </si>
  <si>
    <t>KŘ Policie ČR CELKEM</t>
  </si>
  <si>
    <t>SLZ PP ČR</t>
  </si>
  <si>
    <t xml:space="preserve">Celkem </t>
  </si>
  <si>
    <t>Tabulka č. 16</t>
  </si>
  <si>
    <r>
      <t>Čerpání v roce   2011</t>
    </r>
    <r>
      <rPr>
        <sz val="13"/>
        <rFont val="Arial"/>
        <family val="2"/>
      </rPr>
      <t xml:space="preserve">
</t>
    </r>
  </si>
  <si>
    <t>z toho : počet nově přiznaných důchodů dle §31</t>
  </si>
  <si>
    <t>Výdaje Policie ČR celkem a detail dle jednotlivých krajských ředitelství P ČR v roce 2012</t>
  </si>
  <si>
    <t xml:space="preserve">           Tabulka č. 17 </t>
  </si>
  <si>
    <t xml:space="preserve">Rozpočet po změnách          (R2)                   </t>
  </si>
  <si>
    <t>SOŠ PO a VOŠ PO Frýdek-Místek</t>
  </si>
  <si>
    <r>
      <t xml:space="preserve">Výdaje HZS celkem a detail dle jednotlivých HZS krajů v roce 2012 </t>
    </r>
    <r>
      <rPr>
        <sz val="20"/>
        <rFont val="Arial CE"/>
        <family val="0"/>
      </rPr>
      <t>(bez sociálních dávek a IOP)</t>
    </r>
  </si>
  <si>
    <t>Tabulka č. 19</t>
  </si>
  <si>
    <t>Přehled o čerpání rozpočtu Ministerstva vnitra v letech 2005 až 2012 včetně schváleného rozpočtu na rok 2013</t>
  </si>
  <si>
    <t>U k a z a t e l</t>
  </si>
  <si>
    <t>skutečnost  1993</t>
  </si>
  <si>
    <t>skutečnost  1994</t>
  </si>
  <si>
    <t>skutečnost  1995</t>
  </si>
  <si>
    <t>skutečnost  1996</t>
  </si>
  <si>
    <t>skutečnost  1997</t>
  </si>
  <si>
    <t>skutečnost  1998</t>
  </si>
  <si>
    <t>skutečnost  1999</t>
  </si>
  <si>
    <t>skutečnost   2000</t>
  </si>
  <si>
    <t>skutečnost  2001</t>
  </si>
  <si>
    <t>skutečnost  2002</t>
  </si>
  <si>
    <t>skutečnost      2003</t>
  </si>
  <si>
    <t>skutečnost      2004</t>
  </si>
  <si>
    <t>skutečnost      2005</t>
  </si>
  <si>
    <t>skutečnost   2006</t>
  </si>
  <si>
    <t>skutečnost   2007</t>
  </si>
  <si>
    <t>skutečnost   2008</t>
  </si>
  <si>
    <t>skutečnost   2009</t>
  </si>
  <si>
    <t>skutečnost   2010</t>
  </si>
  <si>
    <t>skutečnost   2011</t>
  </si>
  <si>
    <t>skutečnost   2012</t>
  </si>
  <si>
    <t>schválený rozpočet 2013</t>
  </si>
  <si>
    <t>Příjmy celkem</t>
  </si>
  <si>
    <t>v tom :  -  příjmy z pojistného a přísp. na státní politiku zaměstn.</t>
  </si>
  <si>
    <t xml:space="preserve">                z toho: pojistné na důchodové pojištění</t>
  </si>
  <si>
    <t xml:space="preserve">             -  nedaňové příjmy, kapitové příjmy a přijaté transfery</t>
  </si>
  <si>
    <t xml:space="preserve">             -  daňové příjmy (původně rozpočtovány u MF)</t>
  </si>
  <si>
    <t>Výdaje celkem *)</t>
  </si>
  <si>
    <t xml:space="preserve">v tom: - výdaje na financ.progr. vč. niv souvisejících (PF) </t>
  </si>
  <si>
    <t xml:space="preserve">            - převod do rezervního fondu</t>
  </si>
  <si>
    <t xml:space="preserve">            - běžné výdaje celkem</t>
  </si>
  <si>
    <t>v tom:</t>
  </si>
  <si>
    <t xml:space="preserve">           - dávky sociálního zabezpečení</t>
  </si>
  <si>
    <t xml:space="preserve">           - příspěvek na provoz PO</t>
  </si>
  <si>
    <t xml:space="preserve">           - dotace nestátním neziskovým organizacím</t>
  </si>
  <si>
    <t xml:space="preserve">           - ostatní provozní výdaje (OPV)</t>
  </si>
  <si>
    <t xml:space="preserve">Počet pracovníků OSS MV celkem </t>
  </si>
  <si>
    <t xml:space="preserve">         v tom: - příslušníci</t>
  </si>
  <si>
    <t xml:space="preserve">                    - občanští zaměstnanci</t>
  </si>
  <si>
    <t>Průměrný měsíční plat pracovníků OSS MV celkem</t>
  </si>
  <si>
    <t xml:space="preserve">          z toho: -  příslušníci</t>
  </si>
  <si>
    <t xml:space="preserve">                      - občanských zaměstnanců</t>
  </si>
  <si>
    <t>Informativní údaje</t>
  </si>
  <si>
    <t>Podíl mandatorních výdajů na běžných výdajích celkem (v%)</t>
  </si>
  <si>
    <t>Podíl ostatních výdajů na běžných výdajích celkem  (v%)</t>
  </si>
  <si>
    <t>OBV na pracovníka a rok  (v tis.Kč)</t>
  </si>
  <si>
    <t>Výdaje na PF + OBV</t>
  </si>
  <si>
    <t>Výdaje na PF + OBV na prac. a rok (v tis.Kč)</t>
  </si>
  <si>
    <t>HDP v běžných cenách</t>
  </si>
  <si>
    <t>Podíl celkových výdajů MV na HDP</t>
  </si>
  <si>
    <t>Pro účely tohoto přehledu jsou za mandatorní výdaje považovány platy zaměstnanců a OPPP, pojistné a FKSP a dávky sociálního zabezpečení.</t>
  </si>
  <si>
    <t>Podle metodiky MF byly pro rok 2005 z OBV vyvedeny prostředky ve výši 2 207 000 tis.Kč do programového financování a současně tyto byly podle pokynu MF kráceny o 450 000 tis.Kč.</t>
  </si>
  <si>
    <t xml:space="preserve">Údaje o HDP vycházejí z podkladů MF (SZÚ za jednotlivá období a Návrh zákona o státním rozpočtu na rok 2013) </t>
  </si>
  <si>
    <t>Vypracovala: Ing. Šoltová, tel. 974 849 811</t>
  </si>
  <si>
    <t>Kontroloval: Ing. Hudera, tel. 974 849 802</t>
  </si>
  <si>
    <r>
      <t xml:space="preserve">            - výzkum, vývoj a inovace</t>
    </r>
    <r>
      <rPr>
        <b/>
        <vertAlign val="superscript"/>
        <sz val="11"/>
        <rFont val="Arial CE"/>
        <family val="0"/>
      </rPr>
      <t>*)</t>
    </r>
  </si>
  <si>
    <r>
      <t xml:space="preserve">           - platy zaměstnanců a OPPP </t>
    </r>
    <r>
      <rPr>
        <vertAlign val="superscript"/>
        <sz val="11"/>
        <rFont val="Arial CE"/>
        <family val="0"/>
      </rPr>
      <t>*)</t>
    </r>
  </si>
  <si>
    <r>
      <t xml:space="preserve">           - pojistné a FKSP</t>
    </r>
    <r>
      <rPr>
        <vertAlign val="superscript"/>
        <sz val="11"/>
        <rFont val="Arial CE"/>
        <family val="0"/>
      </rPr>
      <t>*)</t>
    </r>
  </si>
  <si>
    <t>Podle novely zákona č. 218/2000 Sb. mohou být od 1/3/2008 neinvestiční výdaje vedené v programovém financování vyvedeny do ostatních běžných výdajů. Tím došlo v roce 2009 ke snížení výdajů na programové financování a navýšení ostatních běžných výdajů. V návrhu rozpočtu na rok 2013 byly opětovně (dle novely zákona č. 218/2000 Sb.) do výdajů PF zapracovány.</t>
  </si>
  <si>
    <t xml:space="preserve">*) ve skutečnosti jsou mzdové a související výdaje zahrnuty současně v ukazateli "výzkum a vývoj" a v ukazateli "výdaje na financování programů vč. niv. souvisejících (PF)" =&gt; výdaje celkem neodpovídají součtu výdajů na financování programů vč. niv. souvisejících (PF),výzkumu a vývoje </t>
  </si>
  <si>
    <t>Zařízení služeb pro MV</t>
  </si>
  <si>
    <t>Institut pro veřejnou správu MV</t>
  </si>
  <si>
    <t>Bytová správa MV</t>
  </si>
  <si>
    <t>Ústřední orgán</t>
  </si>
  <si>
    <t>Správa základních registrů</t>
  </si>
  <si>
    <t>Správa uprchlických zařízení MV</t>
  </si>
  <si>
    <t>5/</t>
  </si>
  <si>
    <r>
      <t>5/</t>
    </r>
    <r>
      <rPr>
        <sz val="10"/>
        <rFont val="Arial CE"/>
        <family val="2"/>
      </rPr>
      <t xml:space="preserve">  OSS zrušené ke dni 31. 12. 2012</t>
    </r>
  </si>
  <si>
    <t>*) 114040</t>
  </si>
  <si>
    <t xml:space="preserve">Výdaje na zabezpečení úkolů Ministerstva vnitra </t>
  </si>
  <si>
    <t>Výdaje na zabezpečení úkolů Ministerstva vnitra</t>
  </si>
  <si>
    <t>poznámka:  *) OSS SZR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</si>
</sst>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m\o\n\th\ d\,\ \y\y\y\y"/>
    <numFmt numFmtId="166" formatCode="#,##0.0"/>
    <numFmt numFmtId="167" formatCode="#,##0_ ;[Red]\-#,##0\ "/>
    <numFmt numFmtId="168" formatCode="#,##0.00000"/>
    <numFmt numFmtId="169" formatCode="#,##0\ "/>
    <numFmt numFmtId="170" formatCode="_-* #,##0\ _K_č_-;\-* #,##0\ _K_č_-;_-* &quot;-&quot;??\ _K_č_-;_-@_-"/>
    <numFmt numFmtId="171" formatCode="_-* #,##0.0\ _K_č_-;\-* #,##0.0\ _K_č_-;_-* &quot;-&quot;??\ _K_č_-;_-@_-"/>
    <numFmt numFmtId="172" formatCode="0.0"/>
    <numFmt numFmtId="173" formatCode="#,##0.00&quot; &quot;;\-#,##0.00&quot; &quot;;&quot; &quot;;&quot; &quot;\ "/>
    <numFmt numFmtId="174" formatCode="#,##0.00&quot; &quot;"/>
    <numFmt numFmtId="175" formatCode="#,##0.00&quot; &quot;;\-#,##0.00&quot; &quot;;&quot; 0,00&quot;;&quot; 0,00&quot;\ "/>
    <numFmt numFmtId="176" formatCode="\k\ dd/mm/yyyy"/>
    <numFmt numFmtId="177" formatCode="0.00;[Red]0.00"/>
    <numFmt numFmtId="178" formatCode="#,##0.00,;\-#,##0.00,;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"/>
    <numFmt numFmtId="183" formatCode="#,##0.00_ ;[Red]\-#,##0.00\ "/>
    <numFmt numFmtId="184" formatCode="0.0%"/>
    <numFmt numFmtId="185" formatCode="\ @"/>
    <numFmt numFmtId="186" formatCode="dd/mm/yy"/>
    <numFmt numFmtId="187" formatCode="0.000"/>
    <numFmt numFmtId="188" formatCode="#,##0.000_ ;[Red]\-#,##0.000\ "/>
    <numFmt numFmtId="189" formatCode="[$-405]d\.\ mmmm\ yyyy"/>
    <numFmt numFmtId="190" formatCode="#,##0.000000"/>
    <numFmt numFmtId="191" formatCode="#,##0.00000000"/>
    <numFmt numFmtId="192" formatCode="#,##0.00000000;[Red]#,##0.00000000"/>
    <numFmt numFmtId="193" formatCode="#,##0.00000000_ ;[Red]\-#,##0.00000000\ "/>
    <numFmt numFmtId="194" formatCode="0.00000000"/>
    <numFmt numFmtId="195" formatCode="0.000000000000000000000000000000"/>
    <numFmt numFmtId="196" formatCode="0.0000000000000000000000000"/>
    <numFmt numFmtId="197" formatCode="0.00000000000000000000"/>
    <numFmt numFmtId="198" formatCode="#,##0.00000_ ;[Red]\-#,##0.00000\ "/>
    <numFmt numFmtId="199" formatCode="#,###.00000000"/>
    <numFmt numFmtId="200" formatCode="#,###.########"/>
    <numFmt numFmtId="201" formatCode="0.0000000000000000000000000000"/>
    <numFmt numFmtId="202" formatCode="d\.\ mmmm\ yyyy"/>
    <numFmt numFmtId="203" formatCode="0000"/>
    <numFmt numFmtId="204" formatCode="#,##0.0000"/>
    <numFmt numFmtId="205" formatCode="#,##0.0_ ;[Red]\-#,##0.0\ "/>
    <numFmt numFmtId="206" formatCode="\ @\ "/>
  </numFmts>
  <fonts count="125">
    <font>
      <sz val="10"/>
      <name val="Arial CE"/>
      <family val="0"/>
    </font>
    <font>
      <b/>
      <sz val="18"/>
      <name val="AmphionCondensedExtrabold"/>
      <family val="0"/>
    </font>
    <font>
      <sz val="18"/>
      <name val="AmphionCondensedExtrabold"/>
      <family val="0"/>
    </font>
    <font>
      <u val="single"/>
      <sz val="18"/>
      <name val="AmphionCondensedExtrabold"/>
      <family val="0"/>
    </font>
    <font>
      <sz val="11"/>
      <name val="AmphionCondensedExtrabold"/>
      <family val="0"/>
    </font>
    <font>
      <sz val="14"/>
      <name val="AmphionCondensedExtrabold"/>
      <family val="0"/>
    </font>
    <font>
      <u val="single"/>
      <sz val="14"/>
      <name val="AmphionCondensedExtrabold"/>
      <family val="0"/>
    </font>
    <font>
      <sz val="10"/>
      <name val="AmphionCondensedExtrabold"/>
      <family val="0"/>
    </font>
    <font>
      <b/>
      <sz val="16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b/>
      <sz val="18"/>
      <name val="Arial CE"/>
      <family val="0"/>
    </font>
    <font>
      <b/>
      <sz val="11"/>
      <color indexed="21"/>
      <name val="Arial CE"/>
      <family val="2"/>
    </font>
    <font>
      <b/>
      <sz val="11"/>
      <color indexed="61"/>
      <name val="Arial CE"/>
      <family val="0"/>
    </font>
    <font>
      <b/>
      <sz val="11"/>
      <name val="Times New Roman CE"/>
      <family val="1"/>
    </font>
    <font>
      <b/>
      <sz val="10"/>
      <name val="AmphionCondensedExtrabold"/>
      <family val="0"/>
    </font>
    <font>
      <b/>
      <sz val="11"/>
      <name val="Century Schoolbook CE"/>
      <family val="0"/>
    </font>
    <font>
      <sz val="11"/>
      <name val="Bookman Old Style CE"/>
      <family val="0"/>
    </font>
    <font>
      <sz val="11"/>
      <color indexed="21"/>
      <name val="Arial CE"/>
      <family val="2"/>
    </font>
    <font>
      <sz val="10"/>
      <color indexed="21"/>
      <name val="Arial CE"/>
      <family val="2"/>
    </font>
    <font>
      <sz val="10"/>
      <color indexed="18"/>
      <name val="Times New Roman CE"/>
      <family val="1"/>
    </font>
    <font>
      <b/>
      <sz val="11"/>
      <color indexed="37"/>
      <name val="Times New Roman CE"/>
      <family val="1"/>
    </font>
    <font>
      <sz val="10"/>
      <color indexed="37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39"/>
      <name val="Times New Roman CE"/>
      <family val="1"/>
    </font>
    <font>
      <b/>
      <sz val="12"/>
      <color indexed="39"/>
      <name val="Times New Roman CE"/>
      <family val="1"/>
    </font>
    <font>
      <sz val="12"/>
      <name val="Times New Roman CE"/>
      <family val="1"/>
    </font>
    <font>
      <u val="single"/>
      <sz val="10"/>
      <name val="Arial CE"/>
      <family val="2"/>
    </font>
    <font>
      <sz val="10"/>
      <name val="Arial Narrow CE"/>
      <family val="2"/>
    </font>
    <font>
      <b/>
      <sz val="10"/>
      <name val="Arial CE"/>
      <family val="2"/>
    </font>
    <font>
      <b/>
      <u val="single"/>
      <sz val="18"/>
      <name val="AmphionCondensedExtrabold"/>
      <family val="0"/>
    </font>
    <font>
      <sz val="11"/>
      <name val="Arial Narrow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12"/>
      <name val="Arial"/>
      <family val="2"/>
    </font>
    <font>
      <sz val="20"/>
      <color indexed="39"/>
      <name val="Times New Roman CE"/>
      <family val="1"/>
    </font>
    <font>
      <b/>
      <sz val="20"/>
      <color indexed="60"/>
      <name val="Times New Roman CE"/>
      <family val="0"/>
    </font>
    <font>
      <sz val="22"/>
      <name val="Times New Roman CE"/>
      <family val="1"/>
    </font>
    <font>
      <b/>
      <strike/>
      <sz val="11"/>
      <color indexed="37"/>
      <name val="Times New Roman CE"/>
      <family val="1"/>
    </font>
    <font>
      <b/>
      <sz val="16"/>
      <color indexed="12"/>
      <name val="Times New Roman CE"/>
      <family val="1"/>
    </font>
    <font>
      <sz val="11"/>
      <color indexed="25"/>
      <name val="Times New Roman CE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1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b/>
      <sz val="11"/>
      <color indexed="32"/>
      <name val="Arial"/>
      <family val="2"/>
    </font>
    <font>
      <b/>
      <sz val="11"/>
      <color indexed="25"/>
      <name val="Arial"/>
      <family val="2"/>
    </font>
    <font>
      <sz val="11"/>
      <color indexed="16"/>
      <name val="Arial"/>
      <family val="2"/>
    </font>
    <font>
      <sz val="12"/>
      <name val="Arial CE"/>
      <family val="0"/>
    </font>
    <font>
      <sz val="9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9"/>
      <name val="Times New Roman"/>
      <family val="0"/>
    </font>
    <font>
      <sz val="1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u val="single"/>
      <sz val="12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u val="single"/>
      <sz val="12"/>
      <name val="Arial"/>
      <family val="2"/>
    </font>
    <font>
      <sz val="12"/>
      <color indexed="53"/>
      <name val="Arial"/>
      <family val="2"/>
    </font>
    <font>
      <sz val="10"/>
      <color indexed="53"/>
      <name val="Arial"/>
      <family val="2"/>
    </font>
    <font>
      <sz val="20"/>
      <color indexed="53"/>
      <name val="Arial"/>
      <family val="2"/>
    </font>
    <font>
      <b/>
      <sz val="20"/>
      <name val="Arial"/>
      <family val="2"/>
    </font>
    <font>
      <b/>
      <sz val="20"/>
      <color indexed="53"/>
      <name val="Arial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sz val="11"/>
      <color indexed="53"/>
      <name val="Arial"/>
      <family val="2"/>
    </font>
    <font>
      <sz val="16"/>
      <name val="Arial"/>
      <family val="2"/>
    </font>
    <font>
      <sz val="16"/>
      <color indexed="53"/>
      <name val="Arial"/>
      <family val="2"/>
    </font>
    <font>
      <b/>
      <sz val="16"/>
      <name val="Arial CE"/>
      <family val="2"/>
    </font>
    <font>
      <b/>
      <sz val="22"/>
      <name val="Arial CE"/>
      <family val="2"/>
    </font>
    <font>
      <sz val="14"/>
      <name val="Arial CE"/>
      <family val="0"/>
    </font>
    <font>
      <i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7"/>
      <name val="Arial CE"/>
      <family val="0"/>
    </font>
    <font>
      <b/>
      <sz val="17"/>
      <name val="Arial CE"/>
      <family val="0"/>
    </font>
    <font>
      <b/>
      <sz val="20"/>
      <name val="Arial CE"/>
      <family val="0"/>
    </font>
    <font>
      <b/>
      <i/>
      <sz val="10"/>
      <name val="Arial"/>
      <family val="2"/>
    </font>
    <font>
      <sz val="20"/>
      <name val="Arial CE"/>
      <family val="0"/>
    </font>
    <font>
      <b/>
      <sz val="8"/>
      <name val="Arial CE"/>
      <family val="2"/>
    </font>
    <font>
      <b/>
      <vertAlign val="superscript"/>
      <sz val="11"/>
      <name val="Arial CE"/>
      <family val="0"/>
    </font>
    <font>
      <vertAlign val="superscript"/>
      <sz val="11"/>
      <name val="Arial CE"/>
      <family val="0"/>
    </font>
    <font>
      <sz val="11"/>
      <name val="Times New Roman C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>
        <color indexed="48"/>
      </top>
      <bottom style="medium">
        <color indexed="48"/>
      </bottom>
    </border>
    <border>
      <left style="thin"/>
      <right>
        <color indexed="63"/>
      </right>
      <top style="medium">
        <color indexed="48"/>
      </top>
      <bottom style="medium">
        <color indexed="50"/>
      </bottom>
    </border>
    <border>
      <left style="thin"/>
      <right>
        <color indexed="63"/>
      </right>
      <top style="medium">
        <color indexed="46"/>
      </top>
      <bottom style="medium">
        <color indexed="46"/>
      </bottom>
    </border>
    <border>
      <left style="thin"/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46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 style="medium">
        <color indexed="61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 style="medium">
        <color indexed="46"/>
      </right>
      <top style="medium">
        <color indexed="46"/>
      </top>
      <bottom style="medium">
        <color indexed="46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0">
      <alignment/>
      <protection locked="0"/>
    </xf>
    <xf numFmtId="0" fontId="62" fillId="0" borderId="0">
      <alignment/>
      <protection locked="0"/>
    </xf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2" fillId="0" borderId="0">
      <alignment/>
      <protection locked="0"/>
    </xf>
    <xf numFmtId="0" fontId="62" fillId="0" borderId="0">
      <alignment/>
      <protection locked="0"/>
    </xf>
    <xf numFmtId="0" fontId="63" fillId="0" borderId="0">
      <alignment/>
      <protection locked="0"/>
    </xf>
    <xf numFmtId="0" fontId="63" fillId="0" borderId="0">
      <alignment/>
      <protection locked="0"/>
    </xf>
    <xf numFmtId="0" fontId="32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17" borderId="0" applyNumberFormat="0" applyBorder="0" applyAlignment="0" applyProtection="0"/>
    <xf numFmtId="0" fontId="8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8" fillId="0" borderId="0">
      <alignment/>
      <protection/>
    </xf>
    <xf numFmtId="0" fontId="34" fillId="0" borderId="0">
      <alignment/>
      <protection/>
    </xf>
    <xf numFmtId="0" fontId="8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 locked="0"/>
    </xf>
    <xf numFmtId="0" fontId="34" fillId="18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3" fillId="0" borderId="0" applyNumberFormat="0" applyFill="0" applyBorder="0" applyAlignment="0" applyProtection="0"/>
    <xf numFmtId="0" fontId="62" fillId="0" borderId="8">
      <alignment/>
      <protection locked="0"/>
    </xf>
    <xf numFmtId="0" fontId="74" fillId="7" borderId="9" applyNumberFormat="0" applyAlignment="0" applyProtection="0"/>
    <xf numFmtId="0" fontId="75" fillId="19" borderId="9" applyNumberFormat="0" applyAlignment="0" applyProtection="0"/>
    <xf numFmtId="0" fontId="76" fillId="19" borderId="10" applyNumberFormat="0" applyAlignment="0" applyProtection="0"/>
    <xf numFmtId="0" fontId="77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23" borderId="0" applyNumberFormat="0" applyBorder="0" applyAlignment="0" applyProtection="0"/>
  </cellStyleXfs>
  <cellXfs count="10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1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24" borderId="13" xfId="0" applyFill="1" applyBorder="1" applyAlignment="1">
      <alignment/>
    </xf>
    <xf numFmtId="0" fontId="7" fillId="24" borderId="13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16" fillId="17" borderId="14" xfId="0" applyFont="1" applyFill="1" applyBorder="1" applyAlignment="1">
      <alignment horizontal="centerContinuous" wrapText="1"/>
    </xf>
    <xf numFmtId="0" fontId="17" fillId="17" borderId="0" xfId="0" applyFont="1" applyFill="1" applyAlignment="1">
      <alignment horizontal="centerContinuous"/>
    </xf>
    <xf numFmtId="0" fontId="17" fillId="17" borderId="12" xfId="0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18" fillId="24" borderId="15" xfId="0" applyFont="1" applyFill="1" applyBorder="1" applyAlignment="1">
      <alignment horizontal="centerContinuous"/>
    </xf>
    <xf numFmtId="0" fontId="19" fillId="24" borderId="0" xfId="0" applyFont="1" applyFill="1" applyAlignment="1">
      <alignment/>
    </xf>
    <xf numFmtId="0" fontId="10" fillId="24" borderId="15" xfId="0" applyFont="1" applyFill="1" applyBorder="1" applyAlignment="1">
      <alignment horizontal="centerContinuous"/>
    </xf>
    <xf numFmtId="0" fontId="0" fillId="17" borderId="14" xfId="0" applyFill="1" applyBorder="1" applyAlignment="1">
      <alignment/>
    </xf>
    <xf numFmtId="0" fontId="0" fillId="17" borderId="16" xfId="0" applyFill="1" applyBorder="1" applyAlignment="1">
      <alignment/>
    </xf>
    <xf numFmtId="0" fontId="9" fillId="17" borderId="0" xfId="0" applyFont="1" applyFill="1" applyAlignment="1">
      <alignment horizontal="centerContinuous"/>
    </xf>
    <xf numFmtId="0" fontId="9" fillId="17" borderId="12" xfId="0" applyFont="1" applyFill="1" applyBorder="1" applyAlignment="1">
      <alignment horizontal="centerContinuous"/>
    </xf>
    <xf numFmtId="0" fontId="9" fillId="17" borderId="16" xfId="0" applyFont="1" applyFill="1" applyBorder="1" applyAlignment="1">
      <alignment/>
    </xf>
    <xf numFmtId="0" fontId="14" fillId="24" borderId="0" xfId="0" applyFont="1" applyFill="1" applyAlignment="1">
      <alignment/>
    </xf>
    <xf numFmtId="0" fontId="26" fillId="0" borderId="0" xfId="0" applyFont="1" applyAlignment="1">
      <alignment/>
    </xf>
    <xf numFmtId="0" fontId="13" fillId="24" borderId="15" xfId="0" applyFont="1" applyFill="1" applyBorder="1" applyAlignment="1">
      <alignment horizontal="centerContinuous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34" fillId="0" borderId="0" xfId="55">
      <alignment/>
      <protection/>
    </xf>
    <xf numFmtId="0" fontId="34" fillId="0" borderId="0" xfId="0" applyFont="1" applyAlignment="1">
      <alignment/>
    </xf>
    <xf numFmtId="0" fontId="36" fillId="0" borderId="0" xfId="71" applyFont="1" applyFill="1" applyProtection="1">
      <alignment/>
      <protection locked="0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 horizontal="centerContinuous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39" fillId="17" borderId="17" xfId="0" applyFont="1" applyFill="1" applyBorder="1" applyAlignment="1">
      <alignment horizontal="centerContinuous"/>
    </xf>
    <xf numFmtId="0" fontId="8" fillId="17" borderId="18" xfId="0" applyFont="1" applyFill="1" applyBorder="1" applyAlignment="1">
      <alignment horizontal="centerContinuous"/>
    </xf>
    <xf numFmtId="0" fontId="9" fillId="17" borderId="19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20" xfId="0" applyFont="1" applyFill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24" borderId="0" xfId="0" applyFont="1" applyFill="1" applyAlignment="1">
      <alignment/>
    </xf>
    <xf numFmtId="0" fontId="40" fillId="17" borderId="0" xfId="0" applyFont="1" applyFill="1" applyBorder="1" applyAlignment="1">
      <alignment/>
    </xf>
    <xf numFmtId="0" fontId="22" fillId="17" borderId="0" xfId="0" applyFont="1" applyFill="1" applyBorder="1" applyAlignment="1">
      <alignment/>
    </xf>
    <xf numFmtId="0" fontId="21" fillId="17" borderId="0" xfId="0" applyFont="1" applyFill="1" applyBorder="1" applyAlignment="1">
      <alignment/>
    </xf>
    <xf numFmtId="0" fontId="9" fillId="17" borderId="0" xfId="0" applyFont="1" applyFill="1" applyBorder="1" applyAlignment="1">
      <alignment/>
    </xf>
    <xf numFmtId="0" fontId="25" fillId="17" borderId="0" xfId="0" applyFont="1" applyFill="1" applyBorder="1" applyAlignment="1">
      <alignment horizontal="centerContinuous"/>
    </xf>
    <xf numFmtId="0" fontId="24" fillId="17" borderId="0" xfId="0" applyFont="1" applyFill="1" applyBorder="1" applyAlignment="1">
      <alignment horizontal="centerContinuous"/>
    </xf>
    <xf numFmtId="0" fontId="9" fillId="17" borderId="0" xfId="0" applyFont="1" applyFill="1" applyBorder="1" applyAlignment="1">
      <alignment horizontal="centerContinuous"/>
    </xf>
    <xf numFmtId="0" fontId="4" fillId="0" borderId="22" xfId="0" applyFont="1" applyBorder="1" applyAlignment="1">
      <alignment/>
    </xf>
    <xf numFmtId="0" fontId="42" fillId="0" borderId="0" xfId="0" applyFont="1" applyAlignment="1">
      <alignment horizontal="centerContinuous"/>
    </xf>
    <xf numFmtId="0" fontId="42" fillId="0" borderId="0" xfId="0" applyFont="1" applyBorder="1" applyAlignment="1">
      <alignment horizontal="centerContinuous"/>
    </xf>
    <xf numFmtId="0" fontId="0" fillId="17" borderId="23" xfId="0" applyFill="1" applyBorder="1" applyAlignment="1">
      <alignment/>
    </xf>
    <xf numFmtId="0" fontId="25" fillId="17" borderId="13" xfId="0" applyFont="1" applyFill="1" applyBorder="1" applyAlignment="1">
      <alignment horizontal="centerContinuous"/>
    </xf>
    <xf numFmtId="0" fontId="24" fillId="17" borderId="13" xfId="0" applyFont="1" applyFill="1" applyBorder="1" applyAlignment="1">
      <alignment horizontal="centerContinuous"/>
    </xf>
    <xf numFmtId="0" fontId="9" fillId="17" borderId="13" xfId="0" applyFont="1" applyFill="1" applyBorder="1" applyAlignment="1">
      <alignment horizontal="centerContinuous"/>
    </xf>
    <xf numFmtId="0" fontId="9" fillId="17" borderId="24" xfId="0" applyFont="1" applyFill="1" applyBorder="1" applyAlignment="1">
      <alignment/>
    </xf>
    <xf numFmtId="0" fontId="29" fillId="21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10" fillId="0" borderId="19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0" fontId="7" fillId="24" borderId="25" xfId="0" applyFont="1" applyFill="1" applyBorder="1" applyAlignment="1">
      <alignment/>
    </xf>
    <xf numFmtId="0" fontId="3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26" xfId="0" applyFont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23" fillId="24" borderId="0" xfId="0" applyFont="1" applyFill="1" applyBorder="1" applyAlignment="1">
      <alignment textRotation="255"/>
    </xf>
    <xf numFmtId="0" fontId="41" fillId="24" borderId="0" xfId="0" applyFont="1" applyFill="1" applyBorder="1" applyAlignment="1">
      <alignment textRotation="255"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 horizontal="centerContinuous"/>
    </xf>
    <xf numFmtId="0" fontId="41" fillId="24" borderId="0" xfId="0" applyFont="1" applyFill="1" applyBorder="1" applyAlignment="1">
      <alignment horizontal="centerContinuous"/>
    </xf>
    <xf numFmtId="0" fontId="0" fillId="24" borderId="21" xfId="0" applyFill="1" applyBorder="1" applyAlignment="1">
      <alignment/>
    </xf>
    <xf numFmtId="0" fontId="45" fillId="0" borderId="29" xfId="0" applyFont="1" applyBorder="1" applyAlignment="1">
      <alignment/>
    </xf>
    <xf numFmtId="0" fontId="56" fillId="0" borderId="0" xfId="0" applyFont="1" applyBorder="1" applyAlignment="1">
      <alignment horizontal="centerContinuous"/>
    </xf>
    <xf numFmtId="0" fontId="45" fillId="0" borderId="12" xfId="0" applyFont="1" applyBorder="1" applyAlignment="1">
      <alignment horizontal="centerContinuous"/>
    </xf>
    <xf numFmtId="0" fontId="45" fillId="0" borderId="0" xfId="0" applyFont="1" applyAlignment="1">
      <alignment horizontal="centerContinuous"/>
    </xf>
    <xf numFmtId="0" fontId="56" fillId="0" borderId="0" xfId="0" applyFont="1" applyAlignment="1">
      <alignment/>
    </xf>
    <xf numFmtId="0" fontId="45" fillId="0" borderId="30" xfId="0" applyFont="1" applyBorder="1" applyAlignment="1">
      <alignment/>
    </xf>
    <xf numFmtId="0" fontId="13" fillId="24" borderId="31" xfId="0" applyFont="1" applyFill="1" applyBorder="1" applyAlignment="1">
      <alignment horizontal="centerContinuous"/>
    </xf>
    <xf numFmtId="0" fontId="57" fillId="0" borderId="0" xfId="71" applyFont="1">
      <alignment/>
      <protection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0" fillId="24" borderId="32" xfId="0" applyFont="1" applyFill="1" applyBorder="1" applyAlignment="1">
      <alignment/>
    </xf>
    <xf numFmtId="0" fontId="50" fillId="24" borderId="33" xfId="0" applyFont="1" applyFill="1" applyBorder="1" applyAlignment="1">
      <alignment/>
    </xf>
    <xf numFmtId="0" fontId="52" fillId="17" borderId="33" xfId="0" applyFont="1" applyFill="1" applyBorder="1" applyAlignment="1">
      <alignment/>
    </xf>
    <xf numFmtId="0" fontId="20" fillId="17" borderId="34" xfId="0" applyFont="1" applyFill="1" applyBorder="1" applyAlignment="1">
      <alignment/>
    </xf>
    <xf numFmtId="0" fontId="20" fillId="17" borderId="33" xfId="0" applyFont="1" applyFill="1" applyBorder="1" applyAlignment="1">
      <alignment/>
    </xf>
    <xf numFmtId="0" fontId="9" fillId="17" borderId="33" xfId="0" applyFont="1" applyFill="1" applyBorder="1" applyAlignment="1">
      <alignment/>
    </xf>
    <xf numFmtId="0" fontId="22" fillId="17" borderId="12" xfId="0" applyFont="1" applyFill="1" applyBorder="1" applyAlignment="1">
      <alignment/>
    </xf>
    <xf numFmtId="0" fontId="43" fillId="17" borderId="33" xfId="0" applyFont="1" applyFill="1" applyBorder="1" applyAlignment="1">
      <alignment/>
    </xf>
    <xf numFmtId="0" fontId="43" fillId="17" borderId="34" xfId="0" applyFont="1" applyFill="1" applyBorder="1" applyAlignment="1">
      <alignment/>
    </xf>
    <xf numFmtId="0" fontId="43" fillId="17" borderId="0" xfId="0" applyFont="1" applyFill="1" applyBorder="1" applyAlignment="1">
      <alignment vertical="top"/>
    </xf>
    <xf numFmtId="0" fontId="20" fillId="17" borderId="12" xfId="0" applyFont="1" applyFill="1" applyBorder="1" applyAlignment="1">
      <alignment/>
    </xf>
    <xf numFmtId="0" fontId="20" fillId="17" borderId="0" xfId="0" applyFont="1" applyFill="1" applyBorder="1" applyAlignment="1">
      <alignment/>
    </xf>
    <xf numFmtId="0" fontId="53" fillId="17" borderId="0" xfId="0" applyFont="1" applyFill="1" applyBorder="1" applyAlignment="1">
      <alignment/>
    </xf>
    <xf numFmtId="0" fontId="34" fillId="0" borderId="0" xfId="62" applyFont="1" applyFill="1" applyProtection="1">
      <alignment/>
      <protection locked="0"/>
    </xf>
    <xf numFmtId="0" fontId="79" fillId="0" borderId="0" xfId="71" applyFont="1" applyFill="1" applyProtection="1">
      <alignment/>
      <protection locked="0"/>
    </xf>
    <xf numFmtId="0" fontId="34" fillId="0" borderId="0" xfId="71" applyFont="1" applyFill="1" applyProtection="1">
      <alignment/>
      <protection locked="0"/>
    </xf>
    <xf numFmtId="0" fontId="34" fillId="0" borderId="0" xfId="55" applyFill="1">
      <alignment/>
      <protection/>
    </xf>
    <xf numFmtId="0" fontId="8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1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4" fontId="10" fillId="0" borderId="41" xfId="0" applyNumberFormat="1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3" fontId="84" fillId="0" borderId="17" xfId="0" applyNumberFormat="1" applyFont="1" applyFill="1" applyBorder="1" applyAlignment="1">
      <alignment/>
    </xf>
    <xf numFmtId="3" fontId="84" fillId="0" borderId="46" xfId="0" applyNumberFormat="1" applyFont="1" applyFill="1" applyBorder="1" applyAlignment="1">
      <alignment/>
    </xf>
    <xf numFmtId="4" fontId="84" fillId="0" borderId="47" xfId="0" applyNumberFormat="1" applyFont="1" applyFill="1" applyBorder="1" applyAlignment="1">
      <alignment/>
    </xf>
    <xf numFmtId="3" fontId="84" fillId="0" borderId="18" xfId="0" applyNumberFormat="1" applyFont="1" applyFill="1" applyBorder="1" applyAlignment="1">
      <alignment/>
    </xf>
    <xf numFmtId="3" fontId="84" fillId="0" borderId="47" xfId="0" applyNumberFormat="1" applyFont="1" applyFill="1" applyBorder="1" applyAlignment="1">
      <alignment/>
    </xf>
    <xf numFmtId="3" fontId="84" fillId="0" borderId="48" xfId="0" applyNumberFormat="1" applyFont="1" applyFill="1" applyBorder="1" applyAlignment="1">
      <alignment/>
    </xf>
    <xf numFmtId="3" fontId="84" fillId="0" borderId="49" xfId="0" applyNumberFormat="1" applyFont="1" applyFill="1" applyBorder="1" applyAlignment="1">
      <alignment/>
    </xf>
    <xf numFmtId="4" fontId="84" fillId="0" borderId="50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0" fontId="82" fillId="0" borderId="17" xfId="0" applyFont="1" applyFill="1" applyBorder="1" applyAlignment="1">
      <alignment horizontal="centerContinuous" vertical="center"/>
    </xf>
    <xf numFmtId="0" fontId="82" fillId="0" borderId="18" xfId="0" applyFont="1" applyFill="1" applyBorder="1" applyAlignment="1">
      <alignment horizontal="centerContinuous" vertical="center"/>
    </xf>
    <xf numFmtId="0" fontId="82" fillId="0" borderId="19" xfId="0" applyFont="1" applyFill="1" applyBorder="1" applyAlignment="1">
      <alignment horizontal="centerContinuous" vertical="center"/>
    </xf>
    <xf numFmtId="0" fontId="86" fillId="0" borderId="52" xfId="0" applyFont="1" applyFill="1" applyBorder="1" applyAlignment="1">
      <alignment/>
    </xf>
    <xf numFmtId="3" fontId="86" fillId="0" borderId="46" xfId="0" applyNumberFormat="1" applyFont="1" applyFill="1" applyBorder="1" applyAlignment="1">
      <alignment/>
    </xf>
    <xf numFmtId="4" fontId="86" fillId="0" borderId="47" xfId="0" applyNumberFormat="1" applyFont="1" applyFill="1" applyBorder="1" applyAlignment="1">
      <alignment/>
    </xf>
    <xf numFmtId="3" fontId="86" fillId="0" borderId="18" xfId="0" applyNumberFormat="1" applyFont="1" applyFill="1" applyBorder="1" applyAlignment="1">
      <alignment/>
    </xf>
    <xf numFmtId="4" fontId="86" fillId="0" borderId="46" xfId="0" applyNumberFormat="1" applyFont="1" applyFill="1" applyBorder="1" applyAlignment="1">
      <alignment/>
    </xf>
    <xf numFmtId="3" fontId="86" fillId="0" borderId="17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0" fontId="58" fillId="0" borderId="0" xfId="0" applyFont="1" applyAlignment="1">
      <alignment horizontal="right"/>
    </xf>
    <xf numFmtId="0" fontId="43" fillId="0" borderId="0" xfId="0" applyFont="1" applyFill="1" applyBorder="1" applyAlignment="1">
      <alignment horizontal="center" vertical="center"/>
    </xf>
    <xf numFmtId="0" fontId="92" fillId="19" borderId="53" xfId="0" applyFont="1" applyFill="1" applyBorder="1" applyAlignment="1">
      <alignment horizontal="center" vertical="center" wrapText="1"/>
    </xf>
    <xf numFmtId="0" fontId="92" fillId="19" borderId="47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3" fontId="92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34" fillId="0" borderId="0" xfId="71" applyFont="1" applyFill="1" applyAlignment="1" applyProtection="1">
      <alignment/>
      <protection locked="0"/>
    </xf>
    <xf numFmtId="0" fontId="58" fillId="0" borderId="0" xfId="0" applyFont="1" applyAlignment="1">
      <alignment horizontal="right"/>
    </xf>
    <xf numFmtId="3" fontId="58" fillId="0" borderId="0" xfId="0" applyNumberFormat="1" applyFont="1" applyAlignment="1">
      <alignment/>
    </xf>
    <xf numFmtId="0" fontId="34" fillId="0" borderId="0" xfId="0" applyFont="1" applyAlignment="1">
      <alignment/>
    </xf>
    <xf numFmtId="0" fontId="36" fillId="0" borderId="0" xfId="62" applyFont="1" applyFill="1" applyProtection="1">
      <alignment/>
      <protection locked="0"/>
    </xf>
    <xf numFmtId="0" fontId="90" fillId="0" borderId="0" xfId="60" applyNumberFormat="1" applyFont="1" applyFill="1" applyAlignment="1" applyProtection="1">
      <alignment horizontal="centerContinuous"/>
      <protection locked="0"/>
    </xf>
    <xf numFmtId="0" fontId="93" fillId="0" borderId="0" xfId="60" applyNumberFormat="1" applyFont="1" applyFill="1" applyAlignment="1" applyProtection="1">
      <alignment horizontal="centerContinuous"/>
      <protection locked="0"/>
    </xf>
    <xf numFmtId="0" fontId="91" fillId="0" borderId="0" xfId="71" applyFont="1" applyFill="1" applyProtection="1">
      <alignment/>
      <protection locked="0"/>
    </xf>
    <xf numFmtId="0" fontId="91" fillId="0" borderId="52" xfId="62" applyFont="1" applyFill="1" applyBorder="1" applyAlignment="1" applyProtection="1">
      <alignment horizontal="centerContinuous" vertical="top" wrapText="1"/>
      <protection locked="0"/>
    </xf>
    <xf numFmtId="0" fontId="91" fillId="0" borderId="52" xfId="62" applyFont="1" applyFill="1" applyBorder="1" applyAlignment="1" applyProtection="1">
      <alignment horizontal="centerContinuous" vertical="center"/>
      <protection locked="0"/>
    </xf>
    <xf numFmtId="0" fontId="43" fillId="0" borderId="52" xfId="71" applyFont="1" applyFill="1" applyBorder="1" applyAlignment="1" applyProtection="1">
      <alignment horizontal="centerContinuous" vertical="top" wrapText="1"/>
      <protection locked="0"/>
    </xf>
    <xf numFmtId="49" fontId="36" fillId="0" borderId="54" xfId="62" applyNumberFormat="1" applyFont="1" applyFill="1" applyBorder="1" applyAlignment="1" applyProtection="1">
      <alignment horizontal="center" wrapText="1"/>
      <protection locked="0"/>
    </xf>
    <xf numFmtId="49" fontId="34" fillId="0" borderId="54" xfId="62" applyNumberFormat="1" applyFont="1" applyFill="1" applyBorder="1" applyAlignment="1" applyProtection="1">
      <alignment horizontal="left" wrapText="1"/>
      <protection locked="0"/>
    </xf>
    <xf numFmtId="3" fontId="36" fillId="0" borderId="54" xfId="71" applyNumberFormat="1" applyFont="1" applyFill="1" applyBorder="1" applyAlignment="1" applyProtection="1">
      <alignment horizontal="center"/>
      <protection locked="0"/>
    </xf>
    <xf numFmtId="3" fontId="36" fillId="0" borderId="55" xfId="71" applyNumberFormat="1" applyFont="1" applyFill="1" applyBorder="1" applyAlignment="1" applyProtection="1">
      <alignment horizontal="center"/>
      <protection locked="0"/>
    </xf>
    <xf numFmtId="3" fontId="36" fillId="0" borderId="54" xfId="71" applyNumberFormat="1" applyFont="1" applyFill="1" applyBorder="1" applyAlignment="1" applyProtection="1">
      <alignment horizontal="center" vertical="top"/>
      <protection locked="0"/>
    </xf>
    <xf numFmtId="49" fontId="36" fillId="0" borderId="54" xfId="62" applyNumberFormat="1" applyFont="1" applyFill="1" applyBorder="1" applyAlignment="1" applyProtection="1">
      <alignment horizontal="center" vertical="top"/>
      <protection locked="0"/>
    </xf>
    <xf numFmtId="3" fontId="36" fillId="0" borderId="54" xfId="71" applyNumberFormat="1" applyFont="1" applyFill="1" applyBorder="1" applyAlignment="1" applyProtection="1">
      <alignment horizontal="right" vertical="top"/>
      <protection locked="0"/>
    </xf>
    <xf numFmtId="3" fontId="36" fillId="0" borderId="55" xfId="71" applyNumberFormat="1" applyFont="1" applyFill="1" applyBorder="1" applyAlignment="1" applyProtection="1">
      <alignment horizontal="right" vertical="top"/>
      <protection locked="0"/>
    </xf>
    <xf numFmtId="9" fontId="36" fillId="0" borderId="54" xfId="71" applyNumberFormat="1" applyFont="1" applyFill="1" applyBorder="1" applyAlignment="1" applyProtection="1">
      <alignment horizontal="right" vertical="top"/>
      <protection locked="0"/>
    </xf>
    <xf numFmtId="49" fontId="34" fillId="0" borderId="54" xfId="62" applyNumberFormat="1" applyFont="1" applyFill="1" applyBorder="1" applyAlignment="1" applyProtection="1">
      <alignment horizontal="left" vertical="top" wrapText="1"/>
      <protection locked="0"/>
    </xf>
    <xf numFmtId="3" fontId="36" fillId="0" borderId="56" xfId="71" applyNumberFormat="1" applyFont="1" applyFill="1" applyBorder="1" applyAlignment="1" applyProtection="1">
      <alignment horizontal="right" vertical="top"/>
      <protection locked="0"/>
    </xf>
    <xf numFmtId="3" fontId="36" fillId="0" borderId="57" xfId="71" applyNumberFormat="1" applyFont="1" applyFill="1" applyBorder="1" applyAlignment="1" applyProtection="1">
      <alignment horizontal="right" vertical="top"/>
      <protection locked="0"/>
    </xf>
    <xf numFmtId="9" fontId="36" fillId="0" borderId="56" xfId="71" applyNumberFormat="1" applyFont="1" applyFill="1" applyBorder="1" applyAlignment="1" applyProtection="1">
      <alignment horizontal="right" vertical="top"/>
      <protection locked="0"/>
    </xf>
    <xf numFmtId="49" fontId="91" fillId="0" borderId="52" xfId="60" applyNumberFormat="1" applyFont="1" applyFill="1" applyBorder="1" applyAlignment="1" applyProtection="1" quotePrefix="1">
      <alignment horizontal="left" wrapText="1"/>
      <protection locked="0"/>
    </xf>
    <xf numFmtId="49" fontId="36" fillId="0" borderId="0" xfId="62" applyNumberFormat="1" applyFont="1" applyFill="1" applyBorder="1" applyProtection="1">
      <alignment/>
      <protection locked="0"/>
    </xf>
    <xf numFmtId="3" fontId="36" fillId="0" borderId="0" xfId="68" applyNumberFormat="1" applyFont="1" applyFill="1">
      <alignment/>
      <protection/>
    </xf>
    <xf numFmtId="0" fontId="43" fillId="0" borderId="0" xfId="68" applyFont="1">
      <alignment/>
      <protection/>
    </xf>
    <xf numFmtId="3" fontId="43" fillId="0" borderId="0" xfId="68" applyNumberFormat="1" applyFont="1" applyFill="1">
      <alignment/>
      <protection/>
    </xf>
    <xf numFmtId="3" fontId="34" fillId="0" borderId="0" xfId="68" applyNumberFormat="1" applyFont="1" applyFill="1">
      <alignment/>
      <protection/>
    </xf>
    <xf numFmtId="3" fontId="34" fillId="0" borderId="0" xfId="68" applyNumberFormat="1" applyFont="1" applyFill="1" applyBorder="1">
      <alignment/>
      <protection/>
    </xf>
    <xf numFmtId="3" fontId="34" fillId="0" borderId="0" xfId="68" applyNumberFormat="1" applyFont="1" applyFill="1" applyBorder="1" applyAlignment="1">
      <alignment horizontal="right"/>
      <protection/>
    </xf>
    <xf numFmtId="3" fontId="34" fillId="0" borderId="58" xfId="68" applyNumberFormat="1" applyFont="1" applyFill="1" applyBorder="1">
      <alignment/>
      <protection/>
    </xf>
    <xf numFmtId="3" fontId="34" fillId="0" borderId="59" xfId="68" applyNumberFormat="1" applyFont="1" applyFill="1" applyBorder="1">
      <alignment/>
      <protection/>
    </xf>
    <xf numFmtId="3" fontId="34" fillId="0" borderId="60" xfId="68" applyNumberFormat="1" applyFont="1" applyFill="1" applyBorder="1">
      <alignment/>
      <protection/>
    </xf>
    <xf numFmtId="3" fontId="34" fillId="0" borderId="61" xfId="68" applyNumberFormat="1" applyFont="1" applyFill="1" applyBorder="1">
      <alignment/>
      <protection/>
    </xf>
    <xf numFmtId="3" fontId="34" fillId="0" borderId="62" xfId="68" applyNumberFormat="1" applyFont="1" applyFill="1" applyBorder="1">
      <alignment/>
      <protection/>
    </xf>
    <xf numFmtId="182" fontId="34" fillId="0" borderId="60" xfId="68" applyNumberFormat="1" applyFont="1" applyFill="1" applyBorder="1">
      <alignment/>
      <protection/>
    </xf>
    <xf numFmtId="182" fontId="34" fillId="0" borderId="0" xfId="68" applyNumberFormat="1" applyFont="1" applyFill="1">
      <alignment/>
      <protection/>
    </xf>
    <xf numFmtId="4" fontId="36" fillId="0" borderId="0" xfId="68" applyNumberFormat="1" applyFont="1" applyFill="1">
      <alignment/>
      <protection/>
    </xf>
    <xf numFmtId="0" fontId="43" fillId="0" borderId="0" xfId="66" applyFont="1">
      <alignment/>
      <protection/>
    </xf>
    <xf numFmtId="0" fontId="34" fillId="0" borderId="0" xfId="66" applyFont="1">
      <alignment/>
      <protection/>
    </xf>
    <xf numFmtId="0" fontId="89" fillId="0" borderId="0" xfId="66" applyFont="1">
      <alignment/>
      <protection/>
    </xf>
    <xf numFmtId="0" fontId="78" fillId="0" borderId="0" xfId="66" applyFont="1">
      <alignment/>
      <protection/>
    </xf>
    <xf numFmtId="0" fontId="34" fillId="0" borderId="0" xfId="66" applyFont="1" applyBorder="1">
      <alignment/>
      <protection/>
    </xf>
    <xf numFmtId="0" fontId="34" fillId="0" borderId="0" xfId="66" applyFont="1" applyBorder="1" applyAlignment="1">
      <alignment horizontal="right"/>
      <protection/>
    </xf>
    <xf numFmtId="0" fontId="58" fillId="0" borderId="0" xfId="66" applyFont="1" applyFill="1" applyBorder="1">
      <alignment/>
      <protection/>
    </xf>
    <xf numFmtId="3" fontId="43" fillId="0" borderId="0" xfId="66" applyNumberFormat="1" applyFont="1" applyBorder="1">
      <alignment/>
      <protection/>
    </xf>
    <xf numFmtId="4" fontId="43" fillId="0" borderId="0" xfId="66" applyNumberFormat="1" applyFont="1" applyBorder="1">
      <alignment/>
      <protection/>
    </xf>
    <xf numFmtId="2" fontId="43" fillId="0" borderId="0" xfId="66" applyNumberFormat="1" applyFont="1" applyBorder="1">
      <alignment/>
      <protection/>
    </xf>
    <xf numFmtId="4" fontId="34" fillId="0" borderId="0" xfId="66" applyNumberFormat="1" applyFont="1">
      <alignment/>
      <protection/>
    </xf>
    <xf numFmtId="0" fontId="95" fillId="0" borderId="0" xfId="66" applyFont="1">
      <alignment/>
      <protection/>
    </xf>
    <xf numFmtId="0" fontId="43" fillId="0" borderId="0" xfId="66" applyFont="1" applyAlignment="1">
      <alignment horizontal="right"/>
      <protection/>
    </xf>
    <xf numFmtId="0" fontId="36" fillId="0" borderId="0" xfId="66" applyFont="1">
      <alignment/>
      <protection/>
    </xf>
    <xf numFmtId="0" fontId="91" fillId="0" borderId="0" xfId="56" applyFont="1" applyFill="1">
      <alignment/>
      <protection/>
    </xf>
    <xf numFmtId="0" fontId="90" fillId="0" borderId="0" xfId="70" applyFont="1" applyFill="1" applyBorder="1">
      <alignment/>
      <protection/>
    </xf>
    <xf numFmtId="0" fontId="36" fillId="0" borderId="0" xfId="56" applyFont="1" applyFill="1">
      <alignment/>
      <protection/>
    </xf>
    <xf numFmtId="0" fontId="91" fillId="0" borderId="0" xfId="56" applyFont="1" applyFill="1" applyBorder="1">
      <alignment/>
      <protection/>
    </xf>
    <xf numFmtId="0" fontId="96" fillId="0" borderId="0" xfId="56" applyFont="1" applyFill="1">
      <alignment/>
      <protection/>
    </xf>
    <xf numFmtId="49" fontId="91" fillId="0" borderId="0" xfId="56" applyNumberFormat="1" applyFont="1" applyFill="1" applyAlignment="1">
      <alignment horizontal="center" wrapText="1"/>
      <protection/>
    </xf>
    <xf numFmtId="0" fontId="36" fillId="0" borderId="0" xfId="56" applyFont="1" applyFill="1" applyAlignment="1">
      <alignment horizontal="centerContinuous"/>
      <protection/>
    </xf>
    <xf numFmtId="0" fontId="36" fillId="0" borderId="0" xfId="56" applyFont="1" applyFill="1" applyAlignment="1">
      <alignment horizontal="right"/>
      <protection/>
    </xf>
    <xf numFmtId="0" fontId="91" fillId="0" borderId="0" xfId="56" applyFont="1" applyFill="1" applyBorder="1" applyAlignment="1">
      <alignment horizontal="center" vertical="top" wrapText="1"/>
      <protection/>
    </xf>
    <xf numFmtId="0" fontId="91" fillId="0" borderId="0" xfId="56" applyFont="1" applyFill="1" applyAlignment="1">
      <alignment horizontal="left"/>
      <protection/>
    </xf>
    <xf numFmtId="0" fontId="96" fillId="0" borderId="0" xfId="56" applyFont="1">
      <alignment/>
      <protection/>
    </xf>
    <xf numFmtId="0" fontId="91" fillId="0" borderId="0" xfId="56" applyFont="1" applyFill="1" applyAlignment="1">
      <alignment horizontal="right"/>
      <protection/>
    </xf>
    <xf numFmtId="0" fontId="91" fillId="0" borderId="52" xfId="56" applyFont="1" applyFill="1" applyBorder="1" applyAlignment="1">
      <alignment horizontal="center"/>
      <protection/>
    </xf>
    <xf numFmtId="0" fontId="34" fillId="0" borderId="52" xfId="61" applyFont="1" applyFill="1" applyBorder="1" applyAlignment="1">
      <alignment horizontal="center"/>
      <protection/>
    </xf>
    <xf numFmtId="0" fontId="34" fillId="0" borderId="18" xfId="61" applyFont="1" applyFill="1" applyBorder="1" applyAlignment="1">
      <alignment horizontal="center"/>
      <protection/>
    </xf>
    <xf numFmtId="49" fontId="34" fillId="0" borderId="52" xfId="56" applyNumberFormat="1" applyFont="1" applyFill="1" applyBorder="1" applyAlignment="1">
      <alignment horizontal="center" vertical="center"/>
      <protection/>
    </xf>
    <xf numFmtId="0" fontId="45" fillId="0" borderId="54" xfId="56" applyFont="1" applyFill="1" applyBorder="1" applyAlignment="1">
      <alignment horizontal="left"/>
      <protection/>
    </xf>
    <xf numFmtId="3" fontId="36" fillId="0" borderId="63" xfId="56" applyNumberFormat="1" applyFont="1" applyFill="1" applyBorder="1" applyAlignment="1">
      <alignment horizontal="right"/>
      <protection/>
    </xf>
    <xf numFmtId="3" fontId="36" fillId="0" borderId="54" xfId="56" applyNumberFormat="1" applyFont="1" applyFill="1" applyBorder="1" applyAlignment="1">
      <alignment horizontal="right"/>
      <protection/>
    </xf>
    <xf numFmtId="4" fontId="36" fillId="0" borderId="55" xfId="56" applyNumberFormat="1" applyFont="1" applyFill="1" applyBorder="1" applyAlignment="1">
      <alignment horizontal="right"/>
      <protection/>
    </xf>
    <xf numFmtId="3" fontId="36" fillId="0" borderId="55" xfId="56" applyNumberFormat="1" applyFont="1" applyFill="1" applyBorder="1" applyAlignment="1">
      <alignment horizontal="right"/>
      <protection/>
    </xf>
    <xf numFmtId="0" fontId="96" fillId="0" borderId="54" xfId="56" applyFont="1" applyFill="1" applyBorder="1" applyAlignment="1">
      <alignment horizontal="left"/>
      <protection/>
    </xf>
    <xf numFmtId="3" fontId="96" fillId="0" borderId="63" xfId="56" applyNumberFormat="1" applyFont="1" applyFill="1" applyBorder="1" applyAlignment="1">
      <alignment horizontal="right"/>
      <protection/>
    </xf>
    <xf numFmtId="3" fontId="96" fillId="0" borderId="54" xfId="56" applyNumberFormat="1" applyFont="1" applyFill="1" applyBorder="1" applyAlignment="1">
      <alignment horizontal="right"/>
      <protection/>
    </xf>
    <xf numFmtId="10" fontId="96" fillId="0" borderId="55" xfId="56" applyNumberFormat="1" applyFont="1" applyFill="1" applyBorder="1" applyAlignment="1">
      <alignment horizontal="right"/>
      <protection/>
    </xf>
    <xf numFmtId="3" fontId="96" fillId="0" borderId="55" xfId="56" applyNumberFormat="1" applyFont="1" applyFill="1" applyBorder="1" applyAlignment="1">
      <alignment horizontal="right"/>
      <protection/>
    </xf>
    <xf numFmtId="0" fontId="96" fillId="0" borderId="64" xfId="56" applyFont="1" applyFill="1" applyBorder="1" applyAlignment="1">
      <alignment horizontal="left"/>
      <protection/>
    </xf>
    <xf numFmtId="3" fontId="96" fillId="0" borderId="65" xfId="56" applyNumberFormat="1" applyFont="1" applyFill="1" applyBorder="1" applyAlignment="1">
      <alignment horizontal="right"/>
      <protection/>
    </xf>
    <xf numFmtId="3" fontId="96" fillId="0" borderId="66" xfId="56" applyNumberFormat="1" applyFont="1" applyFill="1" applyBorder="1" applyAlignment="1">
      <alignment horizontal="right"/>
      <protection/>
    </xf>
    <xf numFmtId="3" fontId="96" fillId="0" borderId="0" xfId="56" applyNumberFormat="1" applyFont="1" applyFill="1" applyBorder="1" applyAlignment="1">
      <alignment horizontal="right"/>
      <protection/>
    </xf>
    <xf numFmtId="3" fontId="96" fillId="0" borderId="67" xfId="56" applyNumberFormat="1" applyFont="1" applyFill="1" applyBorder="1" applyAlignment="1">
      <alignment horizontal="right"/>
      <protection/>
    </xf>
    <xf numFmtId="4" fontId="96" fillId="0" borderId="68" xfId="56" applyNumberFormat="1" applyFont="1" applyFill="1" applyBorder="1" applyAlignment="1">
      <alignment horizontal="right"/>
      <protection/>
    </xf>
    <xf numFmtId="3" fontId="96" fillId="0" borderId="54" xfId="56" applyNumberFormat="1" applyFont="1" applyFill="1" applyBorder="1" applyAlignment="1">
      <alignment horizontal="center"/>
      <protection/>
    </xf>
    <xf numFmtId="3" fontId="96" fillId="0" borderId="63" xfId="56" applyNumberFormat="1" applyFont="1" applyFill="1" applyBorder="1" applyAlignment="1">
      <alignment horizontal="center"/>
      <protection/>
    </xf>
    <xf numFmtId="10" fontId="96" fillId="0" borderId="56" xfId="56" applyNumberFormat="1" applyFont="1" applyFill="1" applyBorder="1" applyAlignment="1">
      <alignment horizontal="right"/>
      <protection/>
    </xf>
    <xf numFmtId="3" fontId="96" fillId="0" borderId="55" xfId="56" applyNumberFormat="1" applyFont="1" applyFill="1" applyBorder="1" applyAlignment="1">
      <alignment horizontal="center"/>
      <protection/>
    </xf>
    <xf numFmtId="0" fontId="96" fillId="0" borderId="66" xfId="56" applyFont="1" applyFill="1" applyBorder="1" applyAlignment="1">
      <alignment horizontal="left"/>
      <protection/>
    </xf>
    <xf numFmtId="10" fontId="96" fillId="0" borderId="69" xfId="56" applyNumberFormat="1" applyFont="1" applyFill="1" applyBorder="1" applyAlignment="1">
      <alignment horizontal="right"/>
      <protection/>
    </xf>
    <xf numFmtId="3" fontId="96" fillId="0" borderId="65" xfId="56" applyNumberFormat="1" applyFont="1" applyFill="1" applyBorder="1" applyAlignment="1">
      <alignment horizontal="center"/>
      <protection/>
    </xf>
    <xf numFmtId="3" fontId="96" fillId="0" borderId="0" xfId="56" applyNumberFormat="1" applyFont="1" applyFill="1" applyBorder="1" applyAlignment="1">
      <alignment horizontal="center"/>
      <protection/>
    </xf>
    <xf numFmtId="3" fontId="96" fillId="0" borderId="66" xfId="56" applyNumberFormat="1" applyFont="1" applyFill="1" applyBorder="1" applyAlignment="1">
      <alignment horizontal="center"/>
      <protection/>
    </xf>
    <xf numFmtId="0" fontId="106" fillId="0" borderId="0" xfId="56" applyFont="1" applyFill="1">
      <alignment/>
      <protection/>
    </xf>
    <xf numFmtId="0" fontId="99" fillId="0" borderId="0" xfId="56" applyFont="1" applyFill="1">
      <alignment/>
      <protection/>
    </xf>
    <xf numFmtId="0" fontId="109" fillId="0" borderId="0" xfId="65" applyFont="1">
      <alignment/>
      <protection/>
    </xf>
    <xf numFmtId="0" fontId="110" fillId="0" borderId="0" xfId="65" applyFont="1">
      <alignment/>
      <protection/>
    </xf>
    <xf numFmtId="0" fontId="109" fillId="0" borderId="0" xfId="65" applyFont="1" applyAlignment="1">
      <alignment horizontal="right"/>
      <protection/>
    </xf>
    <xf numFmtId="4" fontId="109" fillId="0" borderId="0" xfId="65" applyNumberFormat="1" applyFont="1">
      <alignment/>
      <protection/>
    </xf>
    <xf numFmtId="0" fontId="81" fillId="0" borderId="0" xfId="65" applyFont="1">
      <alignment/>
      <protection/>
    </xf>
    <xf numFmtId="4" fontId="81" fillId="0" borderId="0" xfId="65" applyNumberFormat="1" applyFont="1">
      <alignment/>
      <protection/>
    </xf>
    <xf numFmtId="0" fontId="34" fillId="0" borderId="0" xfId="65" applyFont="1" applyBorder="1">
      <alignment/>
      <protection/>
    </xf>
    <xf numFmtId="0" fontId="34" fillId="0" borderId="0" xfId="65" applyFont="1">
      <alignment/>
      <protection/>
    </xf>
    <xf numFmtId="0" fontId="29" fillId="0" borderId="0" xfId="65" applyFont="1" applyAlignment="1">
      <alignment horizontal="right"/>
      <protection/>
    </xf>
    <xf numFmtId="0" fontId="34" fillId="25" borderId="0" xfId="65" applyFont="1" applyFill="1" applyAlignment="1">
      <alignment horizontal="right"/>
      <protection/>
    </xf>
    <xf numFmtId="4" fontId="34" fillId="0" borderId="0" xfId="65" applyNumberFormat="1" applyFont="1">
      <alignment/>
      <protection/>
    </xf>
    <xf numFmtId="0" fontId="57" fillId="0" borderId="0" xfId="65" applyFont="1">
      <alignment/>
      <protection/>
    </xf>
    <xf numFmtId="4" fontId="57" fillId="0" borderId="0" xfId="65" applyNumberFormat="1" applyFont="1">
      <alignment/>
      <protection/>
    </xf>
    <xf numFmtId="0" fontId="57" fillId="0" borderId="56" xfId="65" applyFont="1" applyBorder="1">
      <alignment/>
      <protection/>
    </xf>
    <xf numFmtId="3" fontId="10" fillId="0" borderId="70" xfId="65" applyNumberFormat="1" applyFont="1" applyBorder="1">
      <alignment/>
      <protection/>
    </xf>
    <xf numFmtId="3" fontId="10" fillId="0" borderId="40" xfId="65" applyNumberFormat="1" applyFont="1" applyBorder="1">
      <alignment/>
      <protection/>
    </xf>
    <xf numFmtId="4" fontId="10" fillId="0" borderId="71" xfId="65" applyNumberFormat="1" applyFont="1" applyBorder="1">
      <alignment/>
      <protection/>
    </xf>
    <xf numFmtId="3" fontId="34" fillId="0" borderId="0" xfId="65" applyNumberFormat="1" applyFont="1">
      <alignment/>
      <protection/>
    </xf>
    <xf numFmtId="3" fontId="10" fillId="0" borderId="72" xfId="65" applyNumberFormat="1" applyFont="1" applyBorder="1">
      <alignment/>
      <protection/>
    </xf>
    <xf numFmtId="3" fontId="10" fillId="0" borderId="73" xfId="65" applyNumberFormat="1" applyFont="1" applyBorder="1">
      <alignment/>
      <protection/>
    </xf>
    <xf numFmtId="4" fontId="10" fillId="0" borderId="63" xfId="65" applyNumberFormat="1" applyFont="1" applyBorder="1">
      <alignment/>
      <protection/>
    </xf>
    <xf numFmtId="3" fontId="10" fillId="0" borderId="72" xfId="65" applyNumberFormat="1" applyFont="1" applyBorder="1">
      <alignment/>
      <protection/>
    </xf>
    <xf numFmtId="3" fontId="10" fillId="0" borderId="73" xfId="65" applyNumberFormat="1" applyFont="1" applyBorder="1">
      <alignment/>
      <protection/>
    </xf>
    <xf numFmtId="4" fontId="10" fillId="0" borderId="63" xfId="65" applyNumberFormat="1" applyFont="1" applyBorder="1">
      <alignment/>
      <protection/>
    </xf>
    <xf numFmtId="0" fontId="0" fillId="0" borderId="0" xfId="65" applyFont="1">
      <alignment/>
      <protection/>
    </xf>
    <xf numFmtId="4" fontId="0" fillId="0" borderId="0" xfId="65" applyNumberFormat="1" applyFont="1">
      <alignment/>
      <protection/>
    </xf>
    <xf numFmtId="0" fontId="83" fillId="0" borderId="56" xfId="65" applyFont="1" applyBorder="1">
      <alignment/>
      <protection/>
    </xf>
    <xf numFmtId="3" fontId="84" fillId="0" borderId="72" xfId="65" applyNumberFormat="1" applyFont="1" applyBorder="1">
      <alignment/>
      <protection/>
    </xf>
    <xf numFmtId="3" fontId="84" fillId="0" borderId="73" xfId="65" applyNumberFormat="1" applyFont="1" applyBorder="1">
      <alignment/>
      <protection/>
    </xf>
    <xf numFmtId="4" fontId="84" fillId="0" borderId="63" xfId="65" applyNumberFormat="1" applyFont="1" applyBorder="1">
      <alignment/>
      <protection/>
    </xf>
    <xf numFmtId="0" fontId="29" fillId="0" borderId="0" xfId="65" applyFont="1">
      <alignment/>
      <protection/>
    </xf>
    <xf numFmtId="4" fontId="29" fillId="0" borderId="0" xfId="65" applyNumberFormat="1" applyFont="1">
      <alignment/>
      <protection/>
    </xf>
    <xf numFmtId="0" fontId="83" fillId="0" borderId="56" xfId="65" applyFont="1" applyBorder="1">
      <alignment/>
      <protection/>
    </xf>
    <xf numFmtId="0" fontId="83" fillId="0" borderId="52" xfId="65" applyFont="1" applyBorder="1">
      <alignment/>
      <protection/>
    </xf>
    <xf numFmtId="3" fontId="83" fillId="0" borderId="46" xfId="65" applyNumberFormat="1" applyFont="1" applyBorder="1">
      <alignment/>
      <protection/>
    </xf>
    <xf numFmtId="3" fontId="83" fillId="0" borderId="53" xfId="65" applyNumberFormat="1" applyFont="1" applyBorder="1">
      <alignment/>
      <protection/>
    </xf>
    <xf numFmtId="4" fontId="83" fillId="0" borderId="19" xfId="65" applyNumberFormat="1" applyFont="1" applyBorder="1">
      <alignment/>
      <protection/>
    </xf>
    <xf numFmtId="0" fontId="29" fillId="0" borderId="0" xfId="65" applyFont="1" applyBorder="1">
      <alignment/>
      <protection/>
    </xf>
    <xf numFmtId="3" fontId="29" fillId="0" borderId="0" xfId="65" applyNumberFormat="1" applyFont="1" applyBorder="1">
      <alignment/>
      <protection/>
    </xf>
    <xf numFmtId="0" fontId="34" fillId="25" borderId="0" xfId="65" applyFont="1" applyFill="1">
      <alignment/>
      <protection/>
    </xf>
    <xf numFmtId="0" fontId="111" fillId="0" borderId="0" xfId="65" applyFont="1">
      <alignment/>
      <protection/>
    </xf>
    <xf numFmtId="0" fontId="111" fillId="25" borderId="0" xfId="65" applyFont="1" applyFill="1">
      <alignment/>
      <protection/>
    </xf>
    <xf numFmtId="1" fontId="34" fillId="0" borderId="0" xfId="65" applyNumberFormat="1" applyFont="1">
      <alignment/>
      <protection/>
    </xf>
    <xf numFmtId="0" fontId="112" fillId="0" borderId="0" xfId="56" applyFont="1" applyFill="1">
      <alignment/>
      <protection/>
    </xf>
    <xf numFmtId="0" fontId="113" fillId="0" borderId="0" xfId="56" applyFont="1" applyFill="1">
      <alignment/>
      <protection/>
    </xf>
    <xf numFmtId="0" fontId="114" fillId="0" borderId="64" xfId="56" applyFont="1" applyFill="1" applyBorder="1" applyAlignment="1">
      <alignment horizontal="center" vertical="center" wrapText="1"/>
      <protection/>
    </xf>
    <xf numFmtId="0" fontId="114" fillId="0" borderId="52" xfId="56" applyFont="1" applyFill="1" applyBorder="1" applyAlignment="1">
      <alignment horizontal="center" vertical="top" wrapText="1"/>
      <protection/>
    </xf>
    <xf numFmtId="0" fontId="113" fillId="0" borderId="52" xfId="56" applyFont="1" applyFill="1" applyBorder="1">
      <alignment/>
      <protection/>
    </xf>
    <xf numFmtId="49" fontId="113" fillId="0" borderId="18" xfId="56" applyNumberFormat="1" applyFont="1" applyFill="1" applyBorder="1" applyAlignment="1">
      <alignment horizontal="center" vertical="center"/>
      <protection/>
    </xf>
    <xf numFmtId="0" fontId="113" fillId="0" borderId="52" xfId="63" applyFont="1" applyFill="1" applyBorder="1" applyAlignment="1">
      <alignment horizontal="center"/>
      <protection/>
    </xf>
    <xf numFmtId="0" fontId="113" fillId="0" borderId="18" xfId="63" applyFont="1" applyFill="1" applyBorder="1" applyAlignment="1">
      <alignment horizontal="center"/>
      <protection/>
    </xf>
    <xf numFmtId="0" fontId="113" fillId="0" borderId="19" xfId="63" applyFont="1" applyFill="1" applyBorder="1" applyAlignment="1">
      <alignment horizontal="center"/>
      <protection/>
    </xf>
    <xf numFmtId="49" fontId="113" fillId="0" borderId="52" xfId="56" applyNumberFormat="1" applyFont="1" applyFill="1" applyBorder="1" applyAlignment="1">
      <alignment horizontal="center" vertical="center"/>
      <protection/>
    </xf>
    <xf numFmtId="49" fontId="113" fillId="0" borderId="74" xfId="56" applyNumberFormat="1" applyFont="1" applyFill="1" applyBorder="1" applyAlignment="1">
      <alignment horizontal="center" vertical="center"/>
      <protection/>
    </xf>
    <xf numFmtId="0" fontId="113" fillId="0" borderId="75" xfId="56" applyFont="1" applyFill="1" applyBorder="1">
      <alignment/>
      <protection/>
    </xf>
    <xf numFmtId="0" fontId="114" fillId="0" borderId="18" xfId="56" applyFont="1" applyFill="1" applyBorder="1" applyAlignment="1">
      <alignment horizontal="left"/>
      <protection/>
    </xf>
    <xf numFmtId="3" fontId="113" fillId="0" borderId="52" xfId="56" applyNumberFormat="1" applyFont="1" applyFill="1" applyBorder="1" applyAlignment="1">
      <alignment horizontal="right"/>
      <protection/>
    </xf>
    <xf numFmtId="3" fontId="113" fillId="0" borderId="52" xfId="56" applyNumberFormat="1" applyFont="1" applyFill="1" applyBorder="1" applyAlignment="1" applyProtection="1">
      <alignment horizontal="right"/>
      <protection/>
    </xf>
    <xf numFmtId="10" fontId="113" fillId="0" borderId="52" xfId="56" applyNumberFormat="1" applyFont="1" applyFill="1" applyBorder="1" applyAlignment="1">
      <alignment horizontal="right"/>
      <protection/>
    </xf>
    <xf numFmtId="3" fontId="114" fillId="0" borderId="52" xfId="56" applyNumberFormat="1" applyFont="1" applyFill="1" applyBorder="1" applyAlignment="1">
      <alignment horizontal="left"/>
      <protection/>
    </xf>
    <xf numFmtId="3" fontId="113" fillId="0" borderId="52" xfId="56" applyNumberFormat="1" applyFont="1" applyFill="1" applyBorder="1" applyAlignment="1" applyProtection="1">
      <alignment horizontal="right"/>
      <protection locked="0"/>
    </xf>
    <xf numFmtId="0" fontId="113" fillId="0" borderId="56" xfId="56" applyFont="1" applyFill="1" applyBorder="1">
      <alignment/>
      <protection/>
    </xf>
    <xf numFmtId="0" fontId="113" fillId="0" borderId="55" xfId="56" applyFont="1" applyFill="1" applyBorder="1" applyAlignment="1">
      <alignment horizontal="left"/>
      <protection/>
    </xf>
    <xf numFmtId="3" fontId="113" fillId="0" borderId="67" xfId="56" applyNumberFormat="1" applyFont="1" applyFill="1" applyBorder="1" applyAlignment="1" applyProtection="1">
      <alignment horizontal="center"/>
      <protection/>
    </xf>
    <xf numFmtId="3" fontId="113" fillId="0" borderId="54" xfId="56" applyNumberFormat="1" applyFont="1" applyFill="1" applyBorder="1" applyAlignment="1" applyProtection="1">
      <alignment horizontal="center"/>
      <protection/>
    </xf>
    <xf numFmtId="0" fontId="113" fillId="0" borderId="67" xfId="56" applyFont="1" applyFill="1" applyBorder="1" applyAlignment="1" applyProtection="1">
      <alignment horizontal="right"/>
      <protection/>
    </xf>
    <xf numFmtId="3" fontId="113" fillId="0" borderId="54" xfId="56" applyNumberFormat="1" applyFont="1" applyFill="1" applyBorder="1" applyAlignment="1" applyProtection="1">
      <alignment horizontal="right"/>
      <protection/>
    </xf>
    <xf numFmtId="3" fontId="113" fillId="0" borderId="67" xfId="56" applyNumberFormat="1" applyFont="1" applyFill="1" applyBorder="1" applyAlignment="1" applyProtection="1">
      <alignment horizontal="right"/>
      <protection/>
    </xf>
    <xf numFmtId="3" fontId="113" fillId="0" borderId="63" xfId="56" applyNumberFormat="1" applyFont="1" applyFill="1" applyBorder="1" applyAlignment="1" applyProtection="1">
      <alignment horizontal="right"/>
      <protection/>
    </xf>
    <xf numFmtId="0" fontId="114" fillId="0" borderId="54" xfId="56" applyFont="1" applyFill="1" applyBorder="1" applyAlignment="1">
      <alignment horizontal="center"/>
      <protection/>
    </xf>
    <xf numFmtId="0" fontId="114" fillId="0" borderId="55" xfId="56" applyFont="1" applyFill="1" applyBorder="1" applyAlignment="1">
      <alignment horizontal="left"/>
      <protection/>
    </xf>
    <xf numFmtId="10" fontId="113" fillId="0" borderId="54" xfId="56" applyNumberFormat="1" applyFont="1" applyFill="1" applyBorder="1" applyAlignment="1" applyProtection="1">
      <alignment horizontal="right"/>
      <protection/>
    </xf>
    <xf numFmtId="10" fontId="112" fillId="0" borderId="56" xfId="56" applyNumberFormat="1" applyFont="1" applyFill="1" applyBorder="1" applyAlignment="1">
      <alignment horizontal="right"/>
      <protection/>
    </xf>
    <xf numFmtId="3" fontId="113" fillId="0" borderId="54" xfId="56" applyNumberFormat="1" applyFont="1" applyFill="1" applyBorder="1" applyAlignment="1" applyProtection="1">
      <alignment horizontal="right"/>
      <protection locked="0"/>
    </xf>
    <xf numFmtId="3" fontId="113" fillId="0" borderId="63" xfId="56" applyNumberFormat="1" applyFont="1" applyFill="1" applyBorder="1" applyAlignment="1" applyProtection="1">
      <alignment horizontal="right"/>
      <protection locked="0"/>
    </xf>
    <xf numFmtId="0" fontId="114" fillId="0" borderId="56" xfId="56" applyFont="1" applyFill="1" applyBorder="1" applyAlignment="1">
      <alignment horizontal="center"/>
      <protection/>
    </xf>
    <xf numFmtId="3" fontId="113" fillId="0" borderId="56" xfId="56" applyNumberFormat="1" applyFont="1" applyFill="1" applyBorder="1" applyAlignment="1">
      <alignment horizontal="right"/>
      <protection/>
    </xf>
    <xf numFmtId="10" fontId="113" fillId="0" borderId="56" xfId="56" applyNumberFormat="1" applyFont="1" applyFill="1" applyBorder="1" applyAlignment="1" applyProtection="1">
      <alignment horizontal="right"/>
      <protection/>
    </xf>
    <xf numFmtId="0" fontId="112" fillId="0" borderId="56" xfId="56" applyFont="1" applyFill="1" applyBorder="1" applyAlignment="1">
      <alignment horizontal="right"/>
      <protection/>
    </xf>
    <xf numFmtId="0" fontId="112" fillId="0" borderId="55" xfId="56" applyFont="1" applyFill="1" applyBorder="1" applyAlignment="1">
      <alignment horizontal="left" indent="2"/>
      <protection/>
    </xf>
    <xf numFmtId="3" fontId="112" fillId="0" borderId="67" xfId="56" applyNumberFormat="1" applyFont="1" applyFill="1" applyBorder="1" applyAlignment="1" applyProtection="1">
      <alignment horizontal="center"/>
      <protection/>
    </xf>
    <xf numFmtId="3" fontId="112" fillId="0" borderId="67" xfId="56" applyNumberFormat="1" applyFont="1" applyFill="1" applyBorder="1" applyAlignment="1" applyProtection="1">
      <alignment horizontal="center"/>
      <protection locked="0"/>
    </xf>
    <xf numFmtId="3" fontId="112" fillId="0" borderId="67" xfId="56" applyNumberFormat="1" applyFont="1" applyFill="1" applyBorder="1" applyAlignment="1" applyProtection="1">
      <alignment horizontal="right"/>
      <protection locked="0"/>
    </xf>
    <xf numFmtId="3" fontId="112" fillId="0" borderId="54" xfId="56" applyNumberFormat="1" applyFont="1" applyFill="1" applyBorder="1" applyAlignment="1" applyProtection="1">
      <alignment horizontal="right"/>
      <protection locked="0"/>
    </xf>
    <xf numFmtId="3" fontId="112" fillId="0" borderId="63" xfId="56" applyNumberFormat="1" applyFont="1" applyFill="1" applyBorder="1" applyAlignment="1" applyProtection="1">
      <alignment horizontal="right"/>
      <protection locked="0"/>
    </xf>
    <xf numFmtId="3" fontId="112" fillId="0" borderId="76" xfId="56" applyNumberFormat="1" applyFont="1" applyFill="1" applyBorder="1" applyAlignment="1" applyProtection="1">
      <alignment horizontal="center"/>
      <protection locked="0"/>
    </xf>
    <xf numFmtId="3" fontId="112" fillId="0" borderId="76" xfId="56" applyNumberFormat="1" applyFont="1" applyFill="1" applyBorder="1" applyAlignment="1" applyProtection="1">
      <alignment horizontal="right"/>
      <protection locked="0"/>
    </xf>
    <xf numFmtId="3" fontId="113" fillId="0" borderId="56" xfId="56" applyNumberFormat="1" applyFont="1" applyFill="1" applyBorder="1" applyAlignment="1" applyProtection="1">
      <alignment horizontal="right"/>
      <protection/>
    </xf>
    <xf numFmtId="10" fontId="112" fillId="0" borderId="56" xfId="56" applyNumberFormat="1" applyFont="1" applyFill="1" applyBorder="1" applyAlignment="1" applyProtection="1">
      <alignment horizontal="right"/>
      <protection/>
    </xf>
    <xf numFmtId="3" fontId="112" fillId="0" borderId="56" xfId="56" applyNumberFormat="1" applyFont="1" applyFill="1" applyBorder="1" applyAlignment="1" applyProtection="1">
      <alignment horizontal="center"/>
      <protection locked="0"/>
    </xf>
    <xf numFmtId="0" fontId="114" fillId="0" borderId="77" xfId="56" applyFont="1" applyFill="1" applyBorder="1" applyAlignment="1">
      <alignment horizontal="center"/>
      <protection/>
    </xf>
    <xf numFmtId="0" fontId="114" fillId="0" borderId="11" xfId="56" applyFont="1" applyFill="1" applyBorder="1" applyAlignment="1">
      <alignment horizontal="left"/>
      <protection/>
    </xf>
    <xf numFmtId="3" fontId="113" fillId="0" borderId="48" xfId="56" applyNumberFormat="1" applyFont="1" applyFill="1" applyBorder="1" applyAlignment="1" applyProtection="1">
      <alignment horizontal="right"/>
      <protection/>
    </xf>
    <xf numFmtId="10" fontId="113" fillId="0" borderId="64" xfId="56" applyNumberFormat="1" applyFont="1" applyFill="1" applyBorder="1" applyAlignment="1" applyProtection="1">
      <alignment horizontal="right"/>
      <protection/>
    </xf>
    <xf numFmtId="3" fontId="113" fillId="0" borderId="48" xfId="56" applyNumberFormat="1" applyFont="1" applyFill="1" applyBorder="1" applyAlignment="1" applyProtection="1">
      <alignment horizontal="right"/>
      <protection locked="0"/>
    </xf>
    <xf numFmtId="10" fontId="112" fillId="0" borderId="77" xfId="56" applyNumberFormat="1" applyFont="1" applyFill="1" applyBorder="1" applyAlignment="1">
      <alignment horizontal="right"/>
      <protection/>
    </xf>
    <xf numFmtId="3" fontId="113" fillId="0" borderId="64" xfId="56" applyNumberFormat="1" applyFont="1" applyFill="1" applyBorder="1" applyAlignment="1" applyProtection="1">
      <alignment horizontal="right"/>
      <protection locked="0"/>
    </xf>
    <xf numFmtId="3" fontId="113" fillId="0" borderId="78" xfId="56" applyNumberFormat="1" applyFont="1" applyFill="1" applyBorder="1" applyAlignment="1" applyProtection="1">
      <alignment horizontal="right"/>
      <protection locked="0"/>
    </xf>
    <xf numFmtId="0" fontId="100" fillId="0" borderId="0" xfId="56" applyFont="1" applyFill="1">
      <alignment/>
      <protection/>
    </xf>
    <xf numFmtId="0" fontId="101" fillId="0" borderId="0" xfId="56" applyFont="1" applyFill="1">
      <alignment/>
      <protection/>
    </xf>
    <xf numFmtId="0" fontId="103" fillId="0" borderId="0" xfId="56" applyFont="1" applyFill="1" applyAlignment="1">
      <alignment horizontal="left" vertical="top" wrapText="1"/>
      <protection/>
    </xf>
    <xf numFmtId="0" fontId="104" fillId="0" borderId="0" xfId="56" applyFont="1" applyFill="1" applyAlignment="1">
      <alignment horizontal="left" wrapText="1"/>
      <protection/>
    </xf>
    <xf numFmtId="0" fontId="105" fillId="0" borderId="0" xfId="56" applyFont="1" applyFill="1">
      <alignment/>
      <protection/>
    </xf>
    <xf numFmtId="0" fontId="99" fillId="0" borderId="0" xfId="61" applyFont="1" applyFill="1" applyBorder="1">
      <alignment/>
      <protection/>
    </xf>
    <xf numFmtId="0" fontId="36" fillId="0" borderId="0" xfId="61" applyFont="1" applyFill="1" applyBorder="1">
      <alignment/>
      <protection/>
    </xf>
    <xf numFmtId="0" fontId="100" fillId="0" borderId="0" xfId="61" applyFont="1" applyFill="1" applyBorder="1">
      <alignment/>
      <protection/>
    </xf>
    <xf numFmtId="0" fontId="104" fillId="0" borderId="0" xfId="56" applyFont="1" applyFill="1">
      <alignment/>
      <protection/>
    </xf>
    <xf numFmtId="0" fontId="89" fillId="0" borderId="68" xfId="56" applyFont="1" applyFill="1" applyBorder="1" applyAlignment="1">
      <alignment horizontal="left"/>
      <protection/>
    </xf>
    <xf numFmtId="3" fontId="89" fillId="0" borderId="65" xfId="56" applyNumberFormat="1" applyFont="1" applyFill="1" applyBorder="1" applyAlignment="1">
      <alignment horizontal="right"/>
      <protection/>
    </xf>
    <xf numFmtId="10" fontId="89" fillId="0" borderId="33" xfId="56" applyNumberFormat="1" applyFont="1" applyFill="1" applyBorder="1" applyAlignment="1">
      <alignment horizontal="right"/>
      <protection/>
    </xf>
    <xf numFmtId="3" fontId="89" fillId="0" borderId="68" xfId="56" applyNumberFormat="1" applyFont="1" applyFill="1" applyBorder="1" applyAlignment="1">
      <alignment horizontal="right"/>
      <protection/>
    </xf>
    <xf numFmtId="3" fontId="89" fillId="0" borderId="68" xfId="56" applyNumberFormat="1" applyFont="1" applyFill="1" applyBorder="1" applyAlignment="1">
      <alignment horizontal="center"/>
      <protection/>
    </xf>
    <xf numFmtId="3" fontId="89" fillId="0" borderId="74" xfId="56" applyNumberFormat="1" applyFont="1" applyFill="1" applyBorder="1" applyAlignment="1">
      <alignment horizontal="center"/>
      <protection/>
    </xf>
    <xf numFmtId="0" fontId="89" fillId="0" borderId="79" xfId="56" applyFont="1" applyFill="1" applyBorder="1" applyAlignment="1">
      <alignment horizontal="left" wrapText="1"/>
      <protection/>
    </xf>
    <xf numFmtId="3" fontId="89" fillId="0" borderId="33" xfId="56" applyNumberFormat="1" applyFont="1" applyFill="1" applyBorder="1" applyAlignment="1">
      <alignment horizontal="center"/>
      <protection/>
    </xf>
    <xf numFmtId="0" fontId="96" fillId="0" borderId="48" xfId="56" applyFont="1" applyFill="1" applyBorder="1" applyAlignment="1">
      <alignment horizontal="left"/>
      <protection/>
    </xf>
    <xf numFmtId="3" fontId="96" fillId="0" borderId="64" xfId="56" applyNumberFormat="1" applyFont="1" applyFill="1" applyBorder="1" applyAlignment="1">
      <alignment horizontal="right"/>
      <protection/>
    </xf>
    <xf numFmtId="4" fontId="96" fillId="0" borderId="11" xfId="56" applyNumberFormat="1" applyFont="1" applyFill="1" applyBorder="1" applyAlignment="1">
      <alignment horizontal="right"/>
      <protection/>
    </xf>
    <xf numFmtId="3" fontId="96" fillId="0" borderId="64" xfId="56" applyNumberFormat="1" applyFont="1" applyFill="1" applyBorder="1" applyAlignment="1">
      <alignment/>
      <protection/>
    </xf>
    <xf numFmtId="3" fontId="96" fillId="0" borderId="11" xfId="56" applyNumberFormat="1" applyFont="1" applyFill="1" applyBorder="1" applyAlignment="1">
      <alignment horizontal="right"/>
      <protection/>
    </xf>
    <xf numFmtId="3" fontId="96" fillId="0" borderId="78" xfId="56" applyNumberFormat="1" applyFont="1" applyFill="1" applyBorder="1" applyAlignment="1">
      <alignment horizontal="right"/>
      <protection/>
    </xf>
    <xf numFmtId="0" fontId="90" fillId="0" borderId="52" xfId="56" applyFont="1" applyFill="1" applyBorder="1" applyAlignment="1">
      <alignment horizontal="left"/>
      <protection/>
    </xf>
    <xf numFmtId="3" fontId="89" fillId="0" borderId="19" xfId="56" applyNumberFormat="1" applyFont="1" applyFill="1" applyBorder="1" applyAlignment="1">
      <alignment horizontal="right"/>
      <protection/>
    </xf>
    <xf numFmtId="3" fontId="89" fillId="0" borderId="52" xfId="56" applyNumberFormat="1" applyFont="1" applyFill="1" applyBorder="1" applyAlignment="1">
      <alignment horizontal="right"/>
      <protection/>
    </xf>
    <xf numFmtId="10" fontId="89" fillId="0" borderId="52" xfId="56" applyNumberFormat="1" applyFont="1" applyFill="1" applyBorder="1" applyAlignment="1">
      <alignment horizontal="right"/>
      <protection/>
    </xf>
    <xf numFmtId="3" fontId="89" fillId="0" borderId="19" xfId="56" applyNumberFormat="1" applyFont="1" applyFill="1" applyBorder="1" applyAlignment="1">
      <alignment horizontal="center"/>
      <protection/>
    </xf>
    <xf numFmtId="0" fontId="36" fillId="0" borderId="0" xfId="59" applyFont="1" applyFill="1">
      <alignment/>
      <protection/>
    </xf>
    <xf numFmtId="3" fontId="36" fillId="0" borderId="0" xfId="56" applyNumberFormat="1" applyFont="1" applyFill="1" applyAlignment="1">
      <alignment horizontal="left"/>
      <protection/>
    </xf>
    <xf numFmtId="14" fontId="36" fillId="0" borderId="0" xfId="56" applyNumberFormat="1" applyFont="1" applyFill="1" applyAlignment="1">
      <alignment horizontal="left"/>
      <protection/>
    </xf>
    <xf numFmtId="0" fontId="107" fillId="0" borderId="0" xfId="57" applyFont="1" applyFill="1">
      <alignment/>
      <protection/>
    </xf>
    <xf numFmtId="0" fontId="108" fillId="0" borderId="0" xfId="56" applyFont="1" applyFill="1">
      <alignment/>
      <protection/>
    </xf>
    <xf numFmtId="0" fontId="108" fillId="0" borderId="0" xfId="57" applyFont="1" applyFill="1">
      <alignment/>
      <protection/>
    </xf>
    <xf numFmtId="0" fontId="108" fillId="0" borderId="0" xfId="56" applyFont="1" applyFill="1" applyAlignment="1">
      <alignment/>
      <protection/>
    </xf>
    <xf numFmtId="0" fontId="108" fillId="0" borderId="0" xfId="57" applyFont="1" applyFill="1" applyAlignment="1">
      <alignment horizontal="left"/>
      <protection/>
    </xf>
    <xf numFmtId="0" fontId="108" fillId="0" borderId="0" xfId="57" applyFont="1" applyFill="1" applyAlignment="1">
      <alignment horizontal="right"/>
      <protection/>
    </xf>
    <xf numFmtId="0" fontId="108" fillId="0" borderId="0" xfId="57" applyFont="1" applyFill="1" applyAlignment="1">
      <alignment horizontal="center"/>
      <protection/>
    </xf>
    <xf numFmtId="0" fontId="96" fillId="0" borderId="0" xfId="56" applyFont="1" applyFill="1" applyAlignment="1">
      <alignment horizontal="left"/>
      <protection/>
    </xf>
    <xf numFmtId="0" fontId="115" fillId="0" borderId="0" xfId="56" applyFont="1" applyFill="1" applyAlignment="1">
      <alignment horizontal="right"/>
      <protection/>
    </xf>
    <xf numFmtId="0" fontId="107" fillId="0" borderId="0" xfId="56" applyFont="1" applyFill="1">
      <alignment/>
      <protection/>
    </xf>
    <xf numFmtId="0" fontId="107" fillId="0" borderId="0" xfId="59" applyFont="1">
      <alignment/>
      <protection/>
    </xf>
    <xf numFmtId="0" fontId="107" fillId="0" borderId="0" xfId="56" applyFont="1">
      <alignment/>
      <protection/>
    </xf>
    <xf numFmtId="0" fontId="107" fillId="0" borderId="0" xfId="57" applyFont="1" applyFill="1" applyAlignment="1">
      <alignment horizontal="left"/>
      <protection/>
    </xf>
    <xf numFmtId="0" fontId="36" fillId="0" borderId="0" xfId="71" applyFont="1" applyFill="1" applyAlignment="1" applyProtection="1">
      <alignment horizontal="right"/>
      <protection locked="0"/>
    </xf>
    <xf numFmtId="49" fontId="91" fillId="0" borderId="54" xfId="62" applyNumberFormat="1" applyFont="1" applyFill="1" applyBorder="1" applyAlignment="1" applyProtection="1">
      <alignment horizontal="center" wrapText="1"/>
      <protection locked="0"/>
    </xf>
    <xf numFmtId="3" fontId="91" fillId="0" borderId="52" xfId="71" applyNumberFormat="1" applyFont="1" applyFill="1" applyBorder="1" applyProtection="1">
      <alignment/>
      <protection locked="0"/>
    </xf>
    <xf numFmtId="9" fontId="91" fillId="0" borderId="52" xfId="71" applyNumberFormat="1" applyFont="1" applyFill="1" applyBorder="1" applyProtection="1">
      <alignment/>
      <protection locked="0"/>
    </xf>
    <xf numFmtId="0" fontId="43" fillId="0" borderId="0" xfId="0" applyFont="1" applyAlignment="1">
      <alignment/>
    </xf>
    <xf numFmtId="0" fontId="34" fillId="0" borderId="0" xfId="0" applyFont="1" applyAlignment="1">
      <alignment horizontal="right"/>
    </xf>
    <xf numFmtId="0" fontId="43" fillId="19" borderId="53" xfId="0" applyFont="1" applyFill="1" applyBorder="1" applyAlignment="1">
      <alignment horizontal="center" vertical="center" wrapText="1"/>
    </xf>
    <xf numFmtId="0" fontId="43" fillId="19" borderId="47" xfId="0" applyFont="1" applyFill="1" applyBorder="1" applyAlignment="1">
      <alignment horizontal="center" vertical="center" wrapText="1"/>
    </xf>
    <xf numFmtId="3" fontId="34" fillId="0" borderId="80" xfId="0" applyNumberFormat="1" applyFont="1" applyBorder="1" applyAlignment="1">
      <alignment horizontal="right" vertical="center" indent="1"/>
    </xf>
    <xf numFmtId="3" fontId="43" fillId="0" borderId="81" xfId="0" applyNumberFormat="1" applyFont="1" applyBorder="1" applyAlignment="1">
      <alignment horizontal="right" vertical="center" indent="1"/>
    </xf>
    <xf numFmtId="3" fontId="34" fillId="0" borderId="82" xfId="0" applyNumberFormat="1" applyFont="1" applyBorder="1" applyAlignment="1">
      <alignment horizontal="right" vertical="center" indent="1"/>
    </xf>
    <xf numFmtId="3" fontId="34" fillId="0" borderId="35" xfId="0" applyNumberFormat="1" applyFont="1" applyBorder="1" applyAlignment="1">
      <alignment horizontal="right" vertical="center" indent="1"/>
    </xf>
    <xf numFmtId="0" fontId="94" fillId="0" borderId="0" xfId="0" applyFont="1" applyAlignment="1">
      <alignment/>
    </xf>
    <xf numFmtId="3" fontId="91" fillId="19" borderId="53" xfId="0" applyNumberFormat="1" applyFont="1" applyFill="1" applyBorder="1" applyAlignment="1">
      <alignment horizontal="right" vertical="center" indent="1"/>
    </xf>
    <xf numFmtId="3" fontId="91" fillId="19" borderId="47" xfId="0" applyNumberFormat="1" applyFont="1" applyFill="1" applyBorder="1" applyAlignment="1">
      <alignment horizontal="right" vertical="center" indent="1"/>
    </xf>
    <xf numFmtId="0" fontId="36" fillId="0" borderId="0" xfId="0" applyFont="1" applyAlignment="1">
      <alignment/>
    </xf>
    <xf numFmtId="3" fontId="34" fillId="0" borderId="80" xfId="0" applyNumberFormat="1" applyFont="1" applyBorder="1" applyAlignment="1">
      <alignment horizontal="right" vertical="center"/>
    </xf>
    <xf numFmtId="3" fontId="43" fillId="0" borderId="81" xfId="0" applyNumberFormat="1" applyFont="1" applyBorder="1" applyAlignment="1">
      <alignment horizontal="right" vertical="center"/>
    </xf>
    <xf numFmtId="3" fontId="34" fillId="0" borderId="82" xfId="0" applyNumberFormat="1" applyFont="1" applyBorder="1" applyAlignment="1">
      <alignment horizontal="right" vertical="center"/>
    </xf>
    <xf numFmtId="3" fontId="34" fillId="0" borderId="35" xfId="0" applyNumberFormat="1" applyFont="1" applyBorder="1" applyAlignment="1">
      <alignment horizontal="right" vertical="center"/>
    </xf>
    <xf numFmtId="3" fontId="34" fillId="0" borderId="35" xfId="0" applyNumberFormat="1" applyFont="1" applyFill="1" applyBorder="1" applyAlignment="1">
      <alignment horizontal="right" vertical="center"/>
    </xf>
    <xf numFmtId="3" fontId="91" fillId="19" borderId="53" xfId="0" applyNumberFormat="1" applyFont="1" applyFill="1" applyBorder="1" applyAlignment="1">
      <alignment horizontal="right" vertical="center"/>
    </xf>
    <xf numFmtId="3" fontId="91" fillId="19" borderId="47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3" fontId="34" fillId="0" borderId="35" xfId="0" applyNumberFormat="1" applyFont="1" applyFill="1" applyBorder="1" applyAlignment="1">
      <alignment horizontal="right" vertical="center" indent="1"/>
    </xf>
    <xf numFmtId="0" fontId="43" fillId="19" borderId="83" xfId="0" applyFont="1" applyFill="1" applyBorder="1" applyAlignment="1">
      <alignment horizontal="center" vertical="center" wrapText="1"/>
    </xf>
    <xf numFmtId="0" fontId="34" fillId="0" borderId="80" xfId="0" applyFont="1" applyBorder="1" applyAlignment="1">
      <alignment vertical="center"/>
    </xf>
    <xf numFmtId="3" fontId="34" fillId="0" borderId="80" xfId="0" applyNumberFormat="1" applyFont="1" applyBorder="1" applyAlignment="1">
      <alignment horizontal="right" vertical="center" indent="1"/>
    </xf>
    <xf numFmtId="3" fontId="34" fillId="0" borderId="81" xfId="0" applyNumberFormat="1" applyFont="1" applyBorder="1" applyAlignment="1">
      <alignment horizontal="right" vertical="center" indent="1"/>
    </xf>
    <xf numFmtId="0" fontId="34" fillId="0" borderId="35" xfId="0" applyFont="1" applyBorder="1" applyAlignment="1">
      <alignment vertical="center"/>
    </xf>
    <xf numFmtId="3" fontId="34" fillId="0" borderId="35" xfId="0" applyNumberFormat="1" applyFont="1" applyBorder="1" applyAlignment="1">
      <alignment horizontal="right" vertical="center" indent="1"/>
    </xf>
    <xf numFmtId="0" fontId="43" fillId="19" borderId="35" xfId="0" applyFont="1" applyFill="1" applyBorder="1" applyAlignment="1">
      <alignment vertical="center"/>
    </xf>
    <xf numFmtId="3" fontId="43" fillId="19" borderId="35" xfId="0" applyNumberFormat="1" applyFont="1" applyFill="1" applyBorder="1" applyAlignment="1">
      <alignment horizontal="right" vertical="center" indent="1"/>
    </xf>
    <xf numFmtId="3" fontId="43" fillId="19" borderId="41" xfId="0" applyNumberFormat="1" applyFont="1" applyFill="1" applyBorder="1" applyAlignment="1">
      <alignment horizontal="right" vertical="center" indent="1"/>
    </xf>
    <xf numFmtId="0" fontId="43" fillId="0" borderId="84" xfId="0" applyFont="1" applyBorder="1" applyAlignment="1">
      <alignment horizontal="left" vertical="center" wrapText="1" indent="1"/>
    </xf>
    <xf numFmtId="3" fontId="34" fillId="0" borderId="41" xfId="0" applyNumberFormat="1" applyFont="1" applyBorder="1" applyAlignment="1">
      <alignment horizontal="right" vertical="center" indent="1"/>
    </xf>
    <xf numFmtId="0" fontId="43" fillId="19" borderId="82" xfId="0" applyFont="1" applyFill="1" applyBorder="1" applyAlignment="1">
      <alignment vertical="center"/>
    </xf>
    <xf numFmtId="3" fontId="43" fillId="19" borderId="82" xfId="0" applyNumberFormat="1" applyFont="1" applyFill="1" applyBorder="1" applyAlignment="1">
      <alignment horizontal="right" vertical="center" indent="1"/>
    </xf>
    <xf numFmtId="3" fontId="43" fillId="19" borderId="85" xfId="0" applyNumberFormat="1" applyFont="1" applyFill="1" applyBorder="1" applyAlignment="1">
      <alignment horizontal="right" vertical="center" indent="1"/>
    </xf>
    <xf numFmtId="0" fontId="43" fillId="19" borderId="59" xfId="0" applyFont="1" applyFill="1" applyBorder="1" applyAlignment="1">
      <alignment horizontal="center" vertical="center" wrapText="1"/>
    </xf>
    <xf numFmtId="0" fontId="43" fillId="19" borderId="58" xfId="0" applyFont="1" applyFill="1" applyBorder="1" applyAlignment="1">
      <alignment horizontal="center" vertical="center" wrapText="1"/>
    </xf>
    <xf numFmtId="0" fontId="43" fillId="19" borderId="60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vertical="center"/>
    </xf>
    <xf numFmtId="3" fontId="34" fillId="0" borderId="40" xfId="0" applyNumberFormat="1" applyFont="1" applyBorder="1" applyAlignment="1">
      <alignment horizontal="right" vertical="center" indent="1"/>
    </xf>
    <xf numFmtId="3" fontId="34" fillId="0" borderId="36" xfId="0" applyNumberFormat="1" applyFont="1" applyBorder="1" applyAlignment="1">
      <alignment horizontal="right" vertical="center" indent="1"/>
    </xf>
    <xf numFmtId="0" fontId="43" fillId="0" borderId="43" xfId="0" applyFont="1" applyBorder="1" applyAlignment="1">
      <alignment horizontal="left" vertical="center" wrapText="1" indent="1"/>
    </xf>
    <xf numFmtId="0" fontId="43" fillId="19" borderId="44" xfId="0" applyFont="1" applyFill="1" applyBorder="1" applyAlignment="1">
      <alignment vertical="center"/>
    </xf>
    <xf numFmtId="3" fontId="43" fillId="19" borderId="44" xfId="0" applyNumberFormat="1" applyFont="1" applyFill="1" applyBorder="1" applyAlignment="1">
      <alignment horizontal="right" vertical="center" indent="1"/>
    </xf>
    <xf numFmtId="3" fontId="91" fillId="19" borderId="86" xfId="0" applyNumberFormat="1" applyFont="1" applyFill="1" applyBorder="1" applyAlignment="1">
      <alignment horizontal="right" vertical="center" indent="1"/>
    </xf>
    <xf numFmtId="3" fontId="91" fillId="19" borderId="87" xfId="0" applyNumberFormat="1" applyFont="1" applyFill="1" applyBorder="1" applyAlignment="1">
      <alignment horizontal="right" vertical="center" indent="1"/>
    </xf>
    <xf numFmtId="3" fontId="34" fillId="0" borderId="35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center" vertical="center"/>
    </xf>
    <xf numFmtId="3" fontId="34" fillId="0" borderId="40" xfId="0" applyNumberFormat="1" applyFont="1" applyBorder="1" applyAlignment="1">
      <alignment horizontal="right" indent="1"/>
    </xf>
    <xf numFmtId="3" fontId="34" fillId="0" borderId="36" xfId="0" applyNumberFormat="1" applyFont="1" applyBorder="1" applyAlignment="1">
      <alignment horizontal="right" indent="1"/>
    </xf>
    <xf numFmtId="3" fontId="34" fillId="0" borderId="35" xfId="0" applyNumberFormat="1" applyFont="1" applyFill="1" applyBorder="1" applyAlignment="1">
      <alignment horizontal="right" indent="1"/>
    </xf>
    <xf numFmtId="3" fontId="34" fillId="0" borderId="35" xfId="0" applyNumberFormat="1" applyFont="1" applyBorder="1" applyAlignment="1">
      <alignment horizontal="right" indent="1"/>
    </xf>
    <xf numFmtId="3" fontId="34" fillId="0" borderId="41" xfId="0" applyNumberFormat="1" applyFont="1" applyBorder="1" applyAlignment="1">
      <alignment horizontal="right" indent="1"/>
    </xf>
    <xf numFmtId="3" fontId="43" fillId="19" borderId="35" xfId="0" applyNumberFormat="1" applyFont="1" applyFill="1" applyBorder="1" applyAlignment="1">
      <alignment horizontal="right" indent="1"/>
    </xf>
    <xf numFmtId="3" fontId="43" fillId="19" borderId="41" xfId="0" applyNumberFormat="1" applyFont="1" applyFill="1" applyBorder="1" applyAlignment="1">
      <alignment horizontal="right" indent="1"/>
    </xf>
    <xf numFmtId="3" fontId="43" fillId="19" borderId="44" xfId="0" applyNumberFormat="1" applyFont="1" applyFill="1" applyBorder="1" applyAlignment="1">
      <alignment horizontal="right" indent="1"/>
    </xf>
    <xf numFmtId="0" fontId="116" fillId="0" borderId="0" xfId="58" applyFont="1" applyFill="1">
      <alignment/>
      <protection/>
    </xf>
    <xf numFmtId="0" fontId="116" fillId="0" borderId="0" xfId="0" applyFont="1" applyFill="1" applyAlignment="1">
      <alignment/>
    </xf>
    <xf numFmtId="4" fontId="116" fillId="0" borderId="0" xfId="58" applyNumberFormat="1" applyFont="1" applyFill="1">
      <alignment/>
      <protection/>
    </xf>
    <xf numFmtId="0" fontId="116" fillId="0" borderId="0" xfId="58" applyFont="1" applyFill="1" applyAlignment="1">
      <alignment horizontal="left"/>
      <protection/>
    </xf>
    <xf numFmtId="168" fontId="116" fillId="0" borderId="0" xfId="0" applyNumberFormat="1" applyFont="1" applyFill="1" applyAlignment="1">
      <alignment/>
    </xf>
    <xf numFmtId="0" fontId="116" fillId="0" borderId="0" xfId="58" applyFont="1" applyFill="1" applyAlignment="1">
      <alignment/>
      <protection/>
    </xf>
    <xf numFmtId="14" fontId="116" fillId="0" borderId="0" xfId="0" applyNumberFormat="1" applyFont="1" applyFill="1" applyAlignment="1">
      <alignment/>
    </xf>
    <xf numFmtId="0" fontId="116" fillId="0" borderId="0" xfId="58" applyFont="1" applyFill="1" applyAlignment="1">
      <alignment horizontal="center"/>
      <protection/>
    </xf>
    <xf numFmtId="0" fontId="117" fillId="0" borderId="0" xfId="0" applyFont="1" applyFill="1" applyAlignment="1">
      <alignment/>
    </xf>
    <xf numFmtId="4" fontId="117" fillId="0" borderId="0" xfId="0" applyNumberFormat="1" applyFont="1" applyFill="1" applyAlignment="1">
      <alignment/>
    </xf>
    <xf numFmtId="0" fontId="117" fillId="0" borderId="0" xfId="0" applyFont="1" applyFill="1" applyAlignment="1">
      <alignment horizontal="right"/>
    </xf>
    <xf numFmtId="0" fontId="111" fillId="0" borderId="0" xfId="0" applyFont="1" applyFill="1" applyAlignment="1">
      <alignment horizontal="right"/>
    </xf>
    <xf numFmtId="0" fontId="83" fillId="0" borderId="11" xfId="0" applyFont="1" applyFill="1" applyBorder="1" applyAlignment="1">
      <alignment horizontal="center"/>
    </xf>
    <xf numFmtId="0" fontId="83" fillId="0" borderId="44" xfId="0" applyFont="1" applyFill="1" applyBorder="1" applyAlignment="1">
      <alignment horizontal="center"/>
    </xf>
    <xf numFmtId="4" fontId="83" fillId="0" borderId="78" xfId="0" applyNumberFormat="1" applyFont="1" applyFill="1" applyBorder="1" applyAlignment="1">
      <alignment horizontal="center"/>
    </xf>
    <xf numFmtId="0" fontId="83" fillId="0" borderId="78" xfId="0" applyFont="1" applyFill="1" applyBorder="1" applyAlignment="1">
      <alignment horizontal="center"/>
    </xf>
    <xf numFmtId="0" fontId="83" fillId="0" borderId="88" xfId="0" applyFont="1" applyFill="1" applyBorder="1" applyAlignment="1">
      <alignment horizontal="center"/>
    </xf>
    <xf numFmtId="0" fontId="83" fillId="0" borderId="83" xfId="0" applyFont="1" applyFill="1" applyBorder="1" applyAlignment="1">
      <alignment horizontal="center"/>
    </xf>
    <xf numFmtId="0" fontId="83" fillId="0" borderId="53" xfId="0" applyFont="1" applyFill="1" applyBorder="1" applyAlignment="1">
      <alignment horizontal="center"/>
    </xf>
    <xf numFmtId="0" fontId="83" fillId="0" borderId="47" xfId="0" applyFont="1" applyFill="1" applyBorder="1" applyAlignment="1">
      <alignment horizontal="center"/>
    </xf>
    <xf numFmtId="0" fontId="83" fillId="0" borderId="17" xfId="0" applyFont="1" applyFill="1" applyBorder="1" applyAlignment="1">
      <alignment horizontal="center"/>
    </xf>
    <xf numFmtId="0" fontId="83" fillId="0" borderId="19" xfId="0" applyFont="1" applyFill="1" applyBorder="1" applyAlignment="1">
      <alignment horizontal="center"/>
    </xf>
    <xf numFmtId="0" fontId="87" fillId="0" borderId="56" xfId="0" applyFont="1" applyFill="1" applyBorder="1" applyAlignment="1">
      <alignment/>
    </xf>
    <xf numFmtId="0" fontId="86" fillId="0" borderId="69" xfId="0" applyFont="1" applyFill="1" applyBorder="1" applyAlignment="1">
      <alignment/>
    </xf>
    <xf numFmtId="0" fontId="82" fillId="0" borderId="52" xfId="0" applyFont="1" applyFill="1" applyBorder="1" applyAlignment="1">
      <alignment/>
    </xf>
    <xf numFmtId="0" fontId="83" fillId="0" borderId="11" xfId="65" applyFont="1" applyBorder="1" applyAlignment="1">
      <alignment horizontal="center"/>
      <protection/>
    </xf>
    <xf numFmtId="0" fontId="83" fillId="0" borderId="44" xfId="65" applyFont="1" applyBorder="1" applyAlignment="1">
      <alignment horizontal="center"/>
      <protection/>
    </xf>
    <xf numFmtId="0" fontId="83" fillId="0" borderId="78" xfId="65" applyFont="1" applyBorder="1" applyAlignment="1">
      <alignment horizontal="center"/>
      <protection/>
    </xf>
    <xf numFmtId="0" fontId="108" fillId="0" borderId="0" xfId="56" applyFont="1">
      <alignment/>
      <protection/>
    </xf>
    <xf numFmtId="3" fontId="45" fillId="0" borderId="0" xfId="68" applyNumberFormat="1" applyFont="1" applyFill="1" applyBorder="1" applyAlignment="1">
      <alignment horizontal="right"/>
      <protection/>
    </xf>
    <xf numFmtId="0" fontId="91" fillId="0" borderId="0" xfId="68" applyFont="1" applyAlignment="1">
      <alignment horizontal="right"/>
      <protection/>
    </xf>
    <xf numFmtId="3" fontId="45" fillId="0" borderId="0" xfId="68" applyNumberFormat="1" applyFont="1" applyFill="1">
      <alignment/>
      <protection/>
    </xf>
    <xf numFmtId="3" fontId="45" fillId="0" borderId="89" xfId="68" applyNumberFormat="1" applyFont="1" applyFill="1" applyBorder="1">
      <alignment/>
      <protection/>
    </xf>
    <xf numFmtId="3" fontId="44" fillId="0" borderId="89" xfId="68" applyNumberFormat="1" applyFont="1" applyFill="1" applyBorder="1" applyAlignment="1">
      <alignment horizontal="center"/>
      <protection/>
    </xf>
    <xf numFmtId="3" fontId="44" fillId="0" borderId="90" xfId="68" applyNumberFormat="1" applyFont="1" applyFill="1" applyBorder="1" applyAlignment="1">
      <alignment horizontal="center"/>
      <protection/>
    </xf>
    <xf numFmtId="3" fontId="45" fillId="0" borderId="89" xfId="68" applyNumberFormat="1" applyFont="1" applyFill="1" applyBorder="1" applyAlignment="1">
      <alignment horizontal="center"/>
      <protection/>
    </xf>
    <xf numFmtId="3" fontId="44" fillId="0" borderId="61" xfId="68" applyNumberFormat="1" applyFont="1" applyFill="1" applyBorder="1" applyAlignment="1">
      <alignment horizontal="center"/>
      <protection/>
    </xf>
    <xf numFmtId="3" fontId="45" fillId="0" borderId="91" xfId="68" applyNumberFormat="1" applyFont="1" applyFill="1" applyBorder="1" applyAlignment="1">
      <alignment horizontal="center"/>
      <protection/>
    </xf>
    <xf numFmtId="3" fontId="45" fillId="0" borderId="91" xfId="68" applyNumberFormat="1" applyFont="1" applyFill="1" applyBorder="1">
      <alignment/>
      <protection/>
    </xf>
    <xf numFmtId="3" fontId="45" fillId="0" borderId="0" xfId="68" applyNumberFormat="1" applyFont="1" applyFill="1" applyBorder="1" applyAlignment="1">
      <alignment horizontal="center"/>
      <protection/>
    </xf>
    <xf numFmtId="3" fontId="44" fillId="0" borderId="92" xfId="68" applyNumberFormat="1" applyFont="1" applyFill="1" applyBorder="1" applyAlignment="1">
      <alignment horizontal="center"/>
      <protection/>
    </xf>
    <xf numFmtId="3" fontId="44" fillId="0" borderId="53" xfId="68" applyNumberFormat="1" applyFont="1" applyFill="1" applyBorder="1" applyAlignment="1">
      <alignment horizontal="center"/>
      <protection/>
    </xf>
    <xf numFmtId="3" fontId="44" fillId="0" borderId="47" xfId="68" applyNumberFormat="1" applyFont="1" applyFill="1" applyBorder="1" applyAlignment="1">
      <alignment horizontal="center"/>
      <protection/>
    </xf>
    <xf numFmtId="3" fontId="44" fillId="0" borderId="93" xfId="68" applyNumberFormat="1" applyFont="1" applyFill="1" applyBorder="1" applyAlignment="1">
      <alignment horizontal="center"/>
      <protection/>
    </xf>
    <xf numFmtId="3" fontId="44" fillId="0" borderId="83" xfId="68" applyNumberFormat="1" applyFont="1" applyFill="1" applyBorder="1" applyAlignment="1">
      <alignment horizontal="center"/>
      <protection/>
    </xf>
    <xf numFmtId="3" fontId="44" fillId="0" borderId="94" xfId="68" applyNumberFormat="1" applyFont="1" applyFill="1" applyBorder="1" applyAlignment="1">
      <alignment horizontal="center"/>
      <protection/>
    </xf>
    <xf numFmtId="3" fontId="44" fillId="0" borderId="95" xfId="68" applyNumberFormat="1" applyFont="1" applyFill="1" applyBorder="1" applyAlignment="1">
      <alignment horizontal="center"/>
      <protection/>
    </xf>
    <xf numFmtId="3" fontId="45" fillId="0" borderId="96" xfId="68" applyNumberFormat="1" applyFont="1" applyFill="1" applyBorder="1">
      <alignment/>
      <protection/>
    </xf>
    <xf numFmtId="3" fontId="45" fillId="0" borderId="97" xfId="68" applyNumberFormat="1" applyFont="1" applyFill="1" applyBorder="1">
      <alignment/>
      <protection/>
    </xf>
    <xf numFmtId="3" fontId="45" fillId="0" borderId="40" xfId="68" applyNumberFormat="1" applyFont="1" applyFill="1" applyBorder="1">
      <alignment/>
      <protection/>
    </xf>
    <xf numFmtId="3" fontId="45" fillId="0" borderId="98" xfId="68" applyNumberFormat="1" applyFont="1" applyFill="1" applyBorder="1">
      <alignment/>
      <protection/>
    </xf>
    <xf numFmtId="3" fontId="45" fillId="0" borderId="58" xfId="68" applyNumberFormat="1" applyFont="1" applyFill="1" applyBorder="1">
      <alignment/>
      <protection/>
    </xf>
    <xf numFmtId="3" fontId="45" fillId="0" borderId="80" xfId="68" applyNumberFormat="1" applyFont="1" applyFill="1" applyBorder="1">
      <alignment/>
      <protection/>
    </xf>
    <xf numFmtId="3" fontId="45" fillId="0" borderId="59" xfId="68" applyNumberFormat="1" applyFont="1" applyFill="1" applyBorder="1">
      <alignment/>
      <protection/>
    </xf>
    <xf numFmtId="3" fontId="45" fillId="0" borderId="99" xfId="68" applyNumberFormat="1" applyFont="1" applyFill="1" applyBorder="1">
      <alignment/>
      <protection/>
    </xf>
    <xf numFmtId="3" fontId="45" fillId="0" borderId="90" xfId="68" applyNumberFormat="1" applyFont="1" applyFill="1" applyBorder="1">
      <alignment/>
      <protection/>
    </xf>
    <xf numFmtId="3" fontId="45" fillId="0" borderId="60" xfId="68" applyNumberFormat="1" applyFont="1" applyFill="1" applyBorder="1">
      <alignment/>
      <protection/>
    </xf>
    <xf numFmtId="3" fontId="45" fillId="0" borderId="100" xfId="68" applyNumberFormat="1" applyFont="1" applyFill="1" applyBorder="1">
      <alignment/>
      <protection/>
    </xf>
    <xf numFmtId="3" fontId="45" fillId="0" borderId="101" xfId="68" applyNumberFormat="1" applyFont="1" applyFill="1" applyBorder="1">
      <alignment/>
      <protection/>
    </xf>
    <xf numFmtId="3" fontId="45" fillId="0" borderId="102" xfId="68" applyNumberFormat="1" applyFont="1" applyFill="1" applyBorder="1">
      <alignment/>
      <protection/>
    </xf>
    <xf numFmtId="3" fontId="45" fillId="0" borderId="61" xfId="68" applyNumberFormat="1" applyFont="1" applyFill="1" applyBorder="1">
      <alignment/>
      <protection/>
    </xf>
    <xf numFmtId="3" fontId="45" fillId="0" borderId="39" xfId="68" applyNumberFormat="1" applyFont="1" applyFill="1" applyBorder="1">
      <alignment/>
      <protection/>
    </xf>
    <xf numFmtId="3" fontId="45" fillId="0" borderId="103" xfId="68" applyNumberFormat="1" applyFont="1" applyFill="1" applyBorder="1">
      <alignment/>
      <protection/>
    </xf>
    <xf numFmtId="182" fontId="45" fillId="0" borderId="36" xfId="68" applyNumberFormat="1" applyFont="1" applyFill="1" applyBorder="1">
      <alignment/>
      <protection/>
    </xf>
    <xf numFmtId="3" fontId="45" fillId="0" borderId="0" xfId="68" applyNumberFormat="1" applyFont="1" applyFill="1" applyBorder="1">
      <alignment/>
      <protection/>
    </xf>
    <xf numFmtId="3" fontId="45" fillId="0" borderId="104" xfId="68" applyNumberFormat="1" applyFont="1" applyFill="1" applyBorder="1">
      <alignment/>
      <protection/>
    </xf>
    <xf numFmtId="3" fontId="45" fillId="0" borderId="105" xfId="68" applyNumberFormat="1" applyFont="1" applyFill="1" applyBorder="1">
      <alignment/>
      <protection/>
    </xf>
    <xf numFmtId="3" fontId="45" fillId="0" borderId="35" xfId="68" applyNumberFormat="1" applyFont="1" applyFill="1" applyBorder="1">
      <alignment/>
      <protection/>
    </xf>
    <xf numFmtId="3" fontId="45" fillId="0" borderId="106" xfId="68" applyNumberFormat="1" applyFont="1" applyFill="1" applyBorder="1">
      <alignment/>
      <protection/>
    </xf>
    <xf numFmtId="3" fontId="45" fillId="0" borderId="42" xfId="68" applyNumberFormat="1" applyFont="1" applyFill="1" applyBorder="1">
      <alignment/>
      <protection/>
    </xf>
    <xf numFmtId="3" fontId="45" fillId="0" borderId="107" xfId="68" applyNumberFormat="1" applyFont="1" applyFill="1" applyBorder="1">
      <alignment/>
      <protection/>
    </xf>
    <xf numFmtId="3" fontId="45" fillId="0" borderId="41" xfId="68" applyNumberFormat="1" applyFont="1" applyFill="1" applyBorder="1">
      <alignment/>
      <protection/>
    </xf>
    <xf numFmtId="3" fontId="45" fillId="0" borderId="108" xfId="68" applyNumberFormat="1" applyFont="1" applyFill="1" applyBorder="1">
      <alignment/>
      <protection/>
    </xf>
    <xf numFmtId="3" fontId="45" fillId="0" borderId="109" xfId="68" applyNumberFormat="1" applyFont="1" applyFill="1" applyBorder="1">
      <alignment/>
      <protection/>
    </xf>
    <xf numFmtId="3" fontId="45" fillId="0" borderId="110" xfId="68" applyNumberFormat="1" applyFont="1" applyFill="1" applyBorder="1">
      <alignment/>
      <protection/>
    </xf>
    <xf numFmtId="3" fontId="45" fillId="0" borderId="56" xfId="68" applyNumberFormat="1" applyFont="1" applyFill="1" applyBorder="1">
      <alignment/>
      <protection/>
    </xf>
    <xf numFmtId="182" fontId="45" fillId="0" borderId="41" xfId="68" applyNumberFormat="1" applyFont="1" applyFill="1" applyBorder="1">
      <alignment/>
      <protection/>
    </xf>
    <xf numFmtId="3" fontId="45" fillId="0" borderId="62" xfId="68" applyNumberFormat="1" applyFont="1" applyFill="1" applyBorder="1">
      <alignment/>
      <protection/>
    </xf>
    <xf numFmtId="3" fontId="45" fillId="0" borderId="111" xfId="68" applyNumberFormat="1" applyFont="1" applyFill="1" applyBorder="1">
      <alignment/>
      <protection/>
    </xf>
    <xf numFmtId="3" fontId="45" fillId="0" borderId="112" xfId="68" applyNumberFormat="1" applyFont="1" applyFill="1" applyBorder="1">
      <alignment/>
      <protection/>
    </xf>
    <xf numFmtId="3" fontId="45" fillId="0" borderId="43" xfId="68" applyNumberFormat="1" applyFont="1" applyFill="1" applyBorder="1">
      <alignment/>
      <protection/>
    </xf>
    <xf numFmtId="3" fontId="45" fillId="0" borderId="113" xfId="68" applyNumberFormat="1" applyFont="1" applyFill="1" applyBorder="1">
      <alignment/>
      <protection/>
    </xf>
    <xf numFmtId="3" fontId="45" fillId="0" borderId="45" xfId="68" applyNumberFormat="1" applyFont="1" applyFill="1" applyBorder="1">
      <alignment/>
      <protection/>
    </xf>
    <xf numFmtId="3" fontId="44" fillId="0" borderId="83" xfId="68" applyNumberFormat="1" applyFont="1" applyFill="1" applyBorder="1">
      <alignment/>
      <protection/>
    </xf>
    <xf numFmtId="3" fontId="44" fillId="0" borderId="53" xfId="68" applyNumberFormat="1" applyFont="1" applyFill="1" applyBorder="1">
      <alignment/>
      <protection/>
    </xf>
    <xf numFmtId="3" fontId="44" fillId="0" borderId="47" xfId="68" applyNumberFormat="1" applyFont="1" applyFill="1" applyBorder="1">
      <alignment/>
      <protection/>
    </xf>
    <xf numFmtId="3" fontId="44" fillId="0" borderId="52" xfId="68" applyNumberFormat="1" applyFont="1" applyFill="1" applyBorder="1">
      <alignment/>
      <protection/>
    </xf>
    <xf numFmtId="182" fontId="44" fillId="0" borderId="47" xfId="68" applyNumberFormat="1" applyFont="1" applyFill="1" applyBorder="1">
      <alignment/>
      <protection/>
    </xf>
    <xf numFmtId="3" fontId="44" fillId="0" borderId="0" xfId="68" applyNumberFormat="1" applyFont="1" applyFill="1" applyBorder="1">
      <alignment/>
      <protection/>
    </xf>
    <xf numFmtId="182" fontId="45" fillId="0" borderId="60" xfId="68" applyNumberFormat="1" applyFont="1" applyFill="1" applyBorder="1">
      <alignment/>
      <protection/>
    </xf>
    <xf numFmtId="3" fontId="91" fillId="0" borderId="92" xfId="68" applyNumberFormat="1" applyFont="1" applyFill="1" applyBorder="1">
      <alignment/>
      <protection/>
    </xf>
    <xf numFmtId="3" fontId="96" fillId="0" borderId="0" xfId="68" applyNumberFormat="1" applyFont="1" applyFill="1">
      <alignment/>
      <protection/>
    </xf>
    <xf numFmtId="182" fontId="96" fillId="0" borderId="0" xfId="68" applyNumberFormat="1" applyFont="1" applyFill="1">
      <alignment/>
      <protection/>
    </xf>
    <xf numFmtId="3" fontId="107" fillId="0" borderId="0" xfId="68" applyNumberFormat="1" applyFont="1" applyFill="1">
      <alignment/>
      <protection/>
    </xf>
    <xf numFmtId="0" fontId="36" fillId="0" borderId="61" xfId="66" applyFont="1" applyBorder="1">
      <alignment/>
      <protection/>
    </xf>
    <xf numFmtId="0" fontId="36" fillId="0" borderId="114" xfId="66" applyFont="1" applyBorder="1" applyAlignment="1">
      <alignment horizontal="center"/>
      <protection/>
    </xf>
    <xf numFmtId="0" fontId="36" fillId="0" borderId="93" xfId="66" applyFont="1" applyBorder="1" applyAlignment="1">
      <alignment horizontal="center"/>
      <protection/>
    </xf>
    <xf numFmtId="0" fontId="36" fillId="0" borderId="92" xfId="66" applyFont="1" applyBorder="1" applyAlignment="1">
      <alignment horizontal="center"/>
      <protection/>
    </xf>
    <xf numFmtId="0" fontId="91" fillId="0" borderId="114" xfId="66" applyFont="1" applyBorder="1" applyAlignment="1">
      <alignment horizontal="center"/>
      <protection/>
    </xf>
    <xf numFmtId="0" fontId="91" fillId="0" borderId="90" xfId="66" applyFont="1" applyBorder="1" applyAlignment="1">
      <alignment horizontal="center"/>
      <protection/>
    </xf>
    <xf numFmtId="0" fontId="36" fillId="0" borderId="0" xfId="66" applyFont="1" applyFill="1" applyBorder="1" applyAlignment="1">
      <alignment horizontal="center"/>
      <protection/>
    </xf>
    <xf numFmtId="0" fontId="91" fillId="0" borderId="112" xfId="66" applyFont="1" applyBorder="1" applyAlignment="1">
      <alignment horizontal="center"/>
      <protection/>
    </xf>
    <xf numFmtId="0" fontId="91" fillId="0" borderId="0" xfId="66" applyFont="1" applyAlignment="1">
      <alignment horizontal="center"/>
      <protection/>
    </xf>
    <xf numFmtId="0" fontId="91" fillId="0" borderId="111" xfId="66" applyFont="1" applyBorder="1" applyAlignment="1">
      <alignment horizontal="center"/>
      <protection/>
    </xf>
    <xf numFmtId="0" fontId="91" fillId="0" borderId="102" xfId="66" applyFont="1" applyBorder="1" applyAlignment="1">
      <alignment horizontal="center"/>
      <protection/>
    </xf>
    <xf numFmtId="0" fontId="91" fillId="0" borderId="58" xfId="66" applyFont="1" applyBorder="1" applyAlignment="1">
      <alignment horizontal="center"/>
      <protection/>
    </xf>
    <xf numFmtId="0" fontId="91" fillId="0" borderId="0" xfId="66" applyFont="1" applyBorder="1" applyAlignment="1">
      <alignment horizontal="center"/>
      <protection/>
    </xf>
    <xf numFmtId="0" fontId="91" fillId="0" borderId="100" xfId="66" applyFont="1" applyBorder="1" applyAlignment="1">
      <alignment horizontal="center"/>
      <protection/>
    </xf>
    <xf numFmtId="0" fontId="91" fillId="0" borderId="101" xfId="66" applyFont="1" applyBorder="1" applyAlignment="1">
      <alignment horizontal="center"/>
      <protection/>
    </xf>
    <xf numFmtId="0" fontId="36" fillId="0" borderId="95" xfId="66" applyFont="1" applyBorder="1">
      <alignment/>
      <protection/>
    </xf>
    <xf numFmtId="0" fontId="36" fillId="0" borderId="115" xfId="66" applyFont="1" applyBorder="1" applyAlignment="1">
      <alignment horizontal="center"/>
      <protection/>
    </xf>
    <xf numFmtId="0" fontId="36" fillId="0" borderId="86" xfId="66" applyFont="1" applyBorder="1" applyAlignment="1">
      <alignment horizontal="center"/>
      <protection/>
    </xf>
    <xf numFmtId="0" fontId="36" fillId="0" borderId="116" xfId="66" applyFont="1" applyBorder="1" applyAlignment="1">
      <alignment horizontal="center"/>
      <protection/>
    </xf>
    <xf numFmtId="0" fontId="36" fillId="0" borderId="117" xfId="66" applyFont="1" applyBorder="1" applyAlignment="1">
      <alignment horizontal="center"/>
      <protection/>
    </xf>
    <xf numFmtId="0" fontId="91" fillId="0" borderId="118" xfId="66" applyFont="1" applyBorder="1" applyAlignment="1">
      <alignment horizontal="center"/>
      <protection/>
    </xf>
    <xf numFmtId="0" fontId="36" fillId="0" borderId="119" xfId="66" applyFont="1" applyBorder="1" applyAlignment="1">
      <alignment horizontal="center"/>
      <protection/>
    </xf>
    <xf numFmtId="0" fontId="36" fillId="0" borderId="120" xfId="66" applyFont="1" applyBorder="1" applyAlignment="1">
      <alignment horizontal="center"/>
      <protection/>
    </xf>
    <xf numFmtId="0" fontId="36" fillId="0" borderId="118" xfId="66" applyFont="1" applyBorder="1" applyAlignment="1">
      <alignment horizontal="center"/>
      <protection/>
    </xf>
    <xf numFmtId="0" fontId="36" fillId="0" borderId="87" xfId="66" applyFont="1" applyBorder="1" applyAlignment="1">
      <alignment horizontal="center"/>
      <protection/>
    </xf>
    <xf numFmtId="0" fontId="91" fillId="0" borderId="86" xfId="66" applyFont="1" applyBorder="1" applyAlignment="1">
      <alignment horizontal="center"/>
      <protection/>
    </xf>
    <xf numFmtId="4" fontId="36" fillId="0" borderId="118" xfId="66" applyNumberFormat="1" applyFont="1" applyBorder="1" applyAlignment="1">
      <alignment horizontal="center"/>
      <protection/>
    </xf>
    <xf numFmtId="0" fontId="36" fillId="0" borderId="95" xfId="66" applyFont="1" applyBorder="1" applyAlignment="1">
      <alignment horizontal="center"/>
      <protection/>
    </xf>
    <xf numFmtId="0" fontId="91" fillId="0" borderId="117" xfId="66" applyFont="1" applyBorder="1" applyAlignment="1">
      <alignment horizontal="center"/>
      <protection/>
    </xf>
    <xf numFmtId="0" fontId="36" fillId="0" borderId="86" xfId="66" applyFont="1" applyBorder="1">
      <alignment/>
      <protection/>
    </xf>
    <xf numFmtId="0" fontId="36" fillId="0" borderId="0" xfId="66" applyFont="1" applyBorder="1" applyAlignment="1">
      <alignment horizontal="center"/>
      <protection/>
    </xf>
    <xf numFmtId="0" fontId="36" fillId="0" borderId="121" xfId="66" applyFont="1" applyFill="1" applyBorder="1">
      <alignment/>
      <protection/>
    </xf>
    <xf numFmtId="3" fontId="36" fillId="0" borderId="89" xfId="66" applyNumberFormat="1" applyFont="1" applyBorder="1">
      <alignment/>
      <protection/>
    </xf>
    <xf numFmtId="3" fontId="36" fillId="0" borderId="111" xfId="66" applyNumberFormat="1" applyFont="1" applyBorder="1">
      <alignment/>
      <protection/>
    </xf>
    <xf numFmtId="3" fontId="36" fillId="0" borderId="102" xfId="66" applyNumberFormat="1" applyFont="1" applyBorder="1">
      <alignment/>
      <protection/>
    </xf>
    <xf numFmtId="3" fontId="36" fillId="0" borderId="101" xfId="66" applyNumberFormat="1" applyFont="1" applyBorder="1">
      <alignment/>
      <protection/>
    </xf>
    <xf numFmtId="3" fontId="36" fillId="0" borderId="0" xfId="66" applyNumberFormat="1" applyFont="1">
      <alignment/>
      <protection/>
    </xf>
    <xf numFmtId="3" fontId="36" fillId="0" borderId="122" xfId="66" applyNumberFormat="1" applyFont="1" applyBorder="1">
      <alignment/>
      <protection/>
    </xf>
    <xf numFmtId="3" fontId="36" fillId="0" borderId="100" xfId="66" applyNumberFormat="1" applyFont="1" applyBorder="1">
      <alignment/>
      <protection/>
    </xf>
    <xf numFmtId="3" fontId="36" fillId="0" borderId="99" xfId="66" applyNumberFormat="1" applyFont="1" applyBorder="1">
      <alignment/>
      <protection/>
    </xf>
    <xf numFmtId="3" fontId="36" fillId="0" borderId="123" xfId="66" applyNumberFormat="1" applyFont="1" applyBorder="1">
      <alignment/>
      <protection/>
    </xf>
    <xf numFmtId="3" fontId="36" fillId="0" borderId="61" xfId="66" applyNumberFormat="1" applyFont="1" applyBorder="1">
      <alignment/>
      <protection/>
    </xf>
    <xf numFmtId="4" fontId="36" fillId="0" borderId="102" xfId="66" applyNumberFormat="1" applyFont="1" applyBorder="1">
      <alignment/>
      <protection/>
    </xf>
    <xf numFmtId="182" fontId="36" fillId="0" borderId="0" xfId="66" applyNumberFormat="1" applyFont="1" applyBorder="1">
      <alignment/>
      <protection/>
    </xf>
    <xf numFmtId="3" fontId="36" fillId="0" borderId="105" xfId="66" applyNumberFormat="1" applyFont="1" applyBorder="1">
      <alignment/>
      <protection/>
    </xf>
    <xf numFmtId="3" fontId="36" fillId="0" borderId="35" xfId="66" applyNumberFormat="1" applyFont="1" applyBorder="1">
      <alignment/>
      <protection/>
    </xf>
    <xf numFmtId="3" fontId="36" fillId="0" borderId="106" xfId="66" applyNumberFormat="1" applyFont="1" applyBorder="1">
      <alignment/>
      <protection/>
    </xf>
    <xf numFmtId="3" fontId="36" fillId="0" borderId="108" xfId="66" applyNumberFormat="1" applyFont="1" applyBorder="1">
      <alignment/>
      <protection/>
    </xf>
    <xf numFmtId="3" fontId="36" fillId="0" borderId="110" xfId="66" applyNumberFormat="1" applyFont="1" applyBorder="1">
      <alignment/>
      <protection/>
    </xf>
    <xf numFmtId="3" fontId="36" fillId="0" borderId="109" xfId="66" applyNumberFormat="1" applyFont="1" applyBorder="1">
      <alignment/>
      <protection/>
    </xf>
    <xf numFmtId="3" fontId="36" fillId="0" borderId="42" xfId="66" applyNumberFormat="1" applyFont="1" applyBorder="1">
      <alignment/>
      <protection/>
    </xf>
    <xf numFmtId="3" fontId="36" fillId="0" borderId="41" xfId="66" applyNumberFormat="1" applyFont="1" applyBorder="1">
      <alignment/>
      <protection/>
    </xf>
    <xf numFmtId="3" fontId="36" fillId="0" borderId="56" xfId="66" applyNumberFormat="1" applyFont="1" applyBorder="1">
      <alignment/>
      <protection/>
    </xf>
    <xf numFmtId="4" fontId="36" fillId="0" borderId="106" xfId="66" applyNumberFormat="1" applyFont="1" applyBorder="1">
      <alignment/>
      <protection/>
    </xf>
    <xf numFmtId="0" fontId="36" fillId="0" borderId="56" xfId="66" applyFont="1" applyFill="1" applyBorder="1">
      <alignment/>
      <protection/>
    </xf>
    <xf numFmtId="3" fontId="36" fillId="0" borderId="62" xfId="66" applyNumberFormat="1" applyFont="1" applyBorder="1">
      <alignment/>
      <protection/>
    </xf>
    <xf numFmtId="3" fontId="36" fillId="0" borderId="112" xfId="66" applyNumberFormat="1" applyFont="1" applyBorder="1">
      <alignment/>
      <protection/>
    </xf>
    <xf numFmtId="3" fontId="36" fillId="0" borderId="82" xfId="66" applyNumberFormat="1" applyFont="1" applyBorder="1">
      <alignment/>
      <protection/>
    </xf>
    <xf numFmtId="0" fontId="36" fillId="0" borderId="112" xfId="66" applyFont="1" applyFill="1" applyBorder="1">
      <alignment/>
      <protection/>
    </xf>
    <xf numFmtId="3" fontId="36" fillId="0" borderId="124" xfId="66" applyNumberFormat="1" applyFont="1" applyBorder="1">
      <alignment/>
      <protection/>
    </xf>
    <xf numFmtId="3" fontId="36" fillId="0" borderId="44" xfId="66" applyNumberFormat="1" applyFont="1" applyBorder="1">
      <alignment/>
      <protection/>
    </xf>
    <xf numFmtId="3" fontId="36" fillId="0" borderId="125" xfId="66" applyNumberFormat="1" applyFont="1" applyBorder="1">
      <alignment/>
      <protection/>
    </xf>
    <xf numFmtId="3" fontId="36" fillId="0" borderId="126" xfId="66" applyNumberFormat="1" applyFont="1" applyBorder="1">
      <alignment/>
      <protection/>
    </xf>
    <xf numFmtId="3" fontId="36" fillId="0" borderId="113" xfId="66" applyNumberFormat="1" applyFont="1" applyBorder="1">
      <alignment/>
      <protection/>
    </xf>
    <xf numFmtId="3" fontId="36" fillId="0" borderId="127" xfId="66" applyNumberFormat="1" applyFont="1" applyBorder="1">
      <alignment/>
      <protection/>
    </xf>
    <xf numFmtId="3" fontId="36" fillId="0" borderId="43" xfId="66" applyNumberFormat="1" applyFont="1" applyBorder="1">
      <alignment/>
      <protection/>
    </xf>
    <xf numFmtId="3" fontId="36" fillId="0" borderId="45" xfId="66" applyNumberFormat="1" applyFont="1" applyBorder="1">
      <alignment/>
      <protection/>
    </xf>
    <xf numFmtId="3" fontId="36" fillId="0" borderId="77" xfId="66" applyNumberFormat="1" applyFont="1" applyBorder="1">
      <alignment/>
      <protection/>
    </xf>
    <xf numFmtId="0" fontId="91" fillId="0" borderId="52" xfId="66" applyFont="1" applyFill="1" applyBorder="1">
      <alignment/>
      <protection/>
    </xf>
    <xf numFmtId="3" fontId="91" fillId="0" borderId="92" xfId="66" applyNumberFormat="1" applyFont="1" applyBorder="1">
      <alignment/>
      <protection/>
    </xf>
    <xf numFmtId="3" fontId="91" fillId="0" borderId="53" xfId="66" applyNumberFormat="1" applyFont="1" applyBorder="1">
      <alignment/>
      <protection/>
    </xf>
    <xf numFmtId="3" fontId="91" fillId="0" borderId="47" xfId="66" applyNumberFormat="1" applyFont="1" applyBorder="1">
      <alignment/>
      <protection/>
    </xf>
    <xf numFmtId="3" fontId="91" fillId="0" borderId="94" xfId="66" applyNumberFormat="1" applyFont="1" applyBorder="1">
      <alignment/>
      <protection/>
    </xf>
    <xf numFmtId="3" fontId="91" fillId="0" borderId="83" xfId="66" applyNumberFormat="1" applyFont="1" applyBorder="1">
      <alignment/>
      <protection/>
    </xf>
    <xf numFmtId="3" fontId="91" fillId="0" borderId="114" xfId="66" applyNumberFormat="1" applyFont="1" applyBorder="1">
      <alignment/>
      <protection/>
    </xf>
    <xf numFmtId="3" fontId="91" fillId="0" borderId="93" xfId="66" applyNumberFormat="1" applyFont="1" applyBorder="1">
      <alignment/>
      <protection/>
    </xf>
    <xf numFmtId="3" fontId="91" fillId="0" borderId="52" xfId="66" applyNumberFormat="1" applyFont="1" applyBorder="1">
      <alignment/>
      <protection/>
    </xf>
    <xf numFmtId="4" fontId="91" fillId="0" borderId="93" xfId="66" applyNumberFormat="1" applyFont="1" applyBorder="1">
      <alignment/>
      <protection/>
    </xf>
    <xf numFmtId="182" fontId="91" fillId="0" borderId="0" xfId="66" applyNumberFormat="1" applyFont="1" applyBorder="1">
      <alignment/>
      <protection/>
    </xf>
    <xf numFmtId="3" fontId="34" fillId="0" borderId="0" xfId="66" applyNumberFormat="1" applyFont="1">
      <alignment/>
      <protection/>
    </xf>
    <xf numFmtId="0" fontId="34" fillId="0" borderId="0" xfId="67" applyFont="1">
      <alignment/>
      <protection/>
    </xf>
    <xf numFmtId="0" fontId="34" fillId="0" borderId="0" xfId="67" applyFont="1" applyFill="1">
      <alignment/>
      <protection/>
    </xf>
    <xf numFmtId="14" fontId="89" fillId="0" borderId="0" xfId="67" applyNumberFormat="1" applyFont="1" applyAlignment="1">
      <alignment horizontal="left"/>
      <protection/>
    </xf>
    <xf numFmtId="0" fontId="91" fillId="0" borderId="0" xfId="67" applyFont="1" applyFill="1">
      <alignment/>
      <protection/>
    </xf>
    <xf numFmtId="0" fontId="91" fillId="0" borderId="0" xfId="67" applyFont="1">
      <alignment/>
      <protection/>
    </xf>
    <xf numFmtId="0" fontId="34" fillId="0" borderId="0" xfId="67" applyFont="1" applyAlignment="1">
      <alignment horizontal="right"/>
      <protection/>
    </xf>
    <xf numFmtId="14" fontId="34" fillId="0" borderId="68" xfId="67" applyNumberFormat="1" applyFont="1" applyBorder="1">
      <alignment/>
      <protection/>
    </xf>
    <xf numFmtId="0" fontId="43" fillId="0" borderId="33" xfId="67" applyFont="1" applyFill="1" applyBorder="1" applyAlignment="1">
      <alignment horizontal="center"/>
      <protection/>
    </xf>
    <xf numFmtId="0" fontId="43" fillId="0" borderId="33" xfId="67" applyFont="1" applyBorder="1" applyAlignment="1">
      <alignment horizontal="center"/>
      <protection/>
    </xf>
    <xf numFmtId="0" fontId="43" fillId="0" borderId="74" xfId="67" applyFont="1" applyBorder="1" applyAlignment="1">
      <alignment horizontal="center"/>
      <protection/>
    </xf>
    <xf numFmtId="0" fontId="34" fillId="0" borderId="66" xfId="67" applyFont="1" applyBorder="1">
      <alignment/>
      <protection/>
    </xf>
    <xf numFmtId="0" fontId="43" fillId="0" borderId="65" xfId="67" applyFont="1" applyFill="1" applyBorder="1" applyAlignment="1">
      <alignment horizontal="center"/>
      <protection/>
    </xf>
    <xf numFmtId="0" fontId="43" fillId="0" borderId="33" xfId="67" applyFont="1" applyBorder="1" applyAlignment="1">
      <alignment horizontal="centerContinuous"/>
      <protection/>
    </xf>
    <xf numFmtId="0" fontId="43" fillId="0" borderId="74" xfId="67" applyFont="1" applyBorder="1" applyAlignment="1">
      <alignment horizontal="centerContinuous"/>
      <protection/>
    </xf>
    <xf numFmtId="0" fontId="43" fillId="0" borderId="66" xfId="67" applyFont="1" applyBorder="1" applyAlignment="1">
      <alignment horizontal="left"/>
      <protection/>
    </xf>
    <xf numFmtId="0" fontId="43" fillId="0" borderId="78" xfId="67" applyFont="1" applyFill="1" applyBorder="1" applyAlignment="1">
      <alignment horizontal="center"/>
      <protection/>
    </xf>
    <xf numFmtId="0" fontId="43" fillId="0" borderId="19" xfId="67" applyFont="1" applyBorder="1" applyAlignment="1">
      <alignment horizontal="center"/>
      <protection/>
    </xf>
    <xf numFmtId="0" fontId="43" fillId="0" borderId="52" xfId="67" applyFont="1" applyBorder="1" applyAlignment="1">
      <alignment horizontal="center"/>
      <protection/>
    </xf>
    <xf numFmtId="0" fontId="34" fillId="0" borderId="68" xfId="67" applyFont="1" applyFill="1" applyBorder="1">
      <alignment/>
      <protection/>
    </xf>
    <xf numFmtId="3" fontId="34" fillId="0" borderId="71" xfId="67" applyNumberFormat="1" applyFont="1" applyFill="1" applyBorder="1">
      <alignment/>
      <protection/>
    </xf>
    <xf numFmtId="3" fontId="34" fillId="0" borderId="128" xfId="67" applyNumberFormat="1" applyFont="1" applyFill="1" applyBorder="1">
      <alignment/>
      <protection/>
    </xf>
    <xf numFmtId="4" fontId="34" fillId="0" borderId="75" xfId="67" applyNumberFormat="1" applyFont="1" applyFill="1" applyBorder="1">
      <alignment/>
      <protection/>
    </xf>
    <xf numFmtId="3" fontId="34" fillId="0" borderId="75" xfId="67" applyNumberFormat="1" applyFont="1" applyFill="1" applyBorder="1">
      <alignment/>
      <protection/>
    </xf>
    <xf numFmtId="4" fontId="34" fillId="0" borderId="129" xfId="67" applyNumberFormat="1" applyFont="1" applyFill="1" applyBorder="1">
      <alignment/>
      <protection/>
    </xf>
    <xf numFmtId="0" fontId="34" fillId="0" borderId="56" xfId="67" applyFont="1" applyFill="1" applyBorder="1">
      <alignment/>
      <protection/>
    </xf>
    <xf numFmtId="3" fontId="34" fillId="0" borderId="56" xfId="67" applyNumberFormat="1" applyFont="1" applyFill="1" applyBorder="1">
      <alignment/>
      <protection/>
    </xf>
    <xf numFmtId="3" fontId="34" fillId="0" borderId="51" xfId="67" applyNumberFormat="1" applyFont="1" applyFill="1" applyBorder="1">
      <alignment/>
      <protection/>
    </xf>
    <xf numFmtId="4" fontId="34" fillId="0" borderId="56" xfId="67" applyNumberFormat="1" applyFont="1" applyFill="1" applyBorder="1">
      <alignment/>
      <protection/>
    </xf>
    <xf numFmtId="0" fontId="119" fillId="0" borderId="52" xfId="67" applyFont="1" applyFill="1" applyBorder="1">
      <alignment/>
      <protection/>
    </xf>
    <xf numFmtId="3" fontId="34" fillId="0" borderId="52" xfId="67" applyNumberFormat="1" applyFont="1" applyFill="1" applyBorder="1">
      <alignment/>
      <protection/>
    </xf>
    <xf numFmtId="3" fontId="34" fillId="0" borderId="17" xfId="67" applyNumberFormat="1" applyFont="1" applyFill="1" applyBorder="1">
      <alignment/>
      <protection/>
    </xf>
    <xf numFmtId="4" fontId="34" fillId="0" borderId="52" xfId="67" applyNumberFormat="1" applyFont="1" applyFill="1" applyBorder="1">
      <alignment/>
      <protection/>
    </xf>
    <xf numFmtId="4" fontId="34" fillId="0" borderId="19" xfId="67" applyNumberFormat="1" applyFont="1" applyFill="1" applyBorder="1">
      <alignment/>
      <protection/>
    </xf>
    <xf numFmtId="0" fontId="34" fillId="0" borderId="54" xfId="67" applyFont="1" applyFill="1" applyBorder="1">
      <alignment/>
      <protection/>
    </xf>
    <xf numFmtId="3" fontId="34" fillId="0" borderId="63" xfId="67" applyNumberFormat="1" applyFont="1" applyFill="1" applyBorder="1">
      <alignment/>
      <protection/>
    </xf>
    <xf numFmtId="3" fontId="34" fillId="0" borderId="67" xfId="67" applyNumberFormat="1" applyFont="1" applyFill="1" applyBorder="1">
      <alignment/>
      <protection/>
    </xf>
    <xf numFmtId="4" fontId="34" fillId="0" borderId="54" xfId="67" applyNumberFormat="1" applyFont="1" applyFill="1" applyBorder="1">
      <alignment/>
      <protection/>
    </xf>
    <xf numFmtId="3" fontId="34" fillId="0" borderId="54" xfId="67" applyNumberFormat="1" applyFont="1" applyFill="1" applyBorder="1">
      <alignment/>
      <protection/>
    </xf>
    <xf numFmtId="4" fontId="34" fillId="0" borderId="63" xfId="67" applyNumberFormat="1" applyFont="1" applyFill="1" applyBorder="1">
      <alignment/>
      <protection/>
    </xf>
    <xf numFmtId="0" fontId="34" fillId="0" borderId="77" xfId="67" applyFont="1" applyFill="1" applyBorder="1">
      <alignment/>
      <protection/>
    </xf>
    <xf numFmtId="3" fontId="34" fillId="0" borderId="77" xfId="67" applyNumberFormat="1" applyFont="1" applyFill="1" applyBorder="1">
      <alignment/>
      <protection/>
    </xf>
    <xf numFmtId="3" fontId="34" fillId="0" borderId="130" xfId="67" applyNumberFormat="1" applyFont="1" applyFill="1" applyBorder="1">
      <alignment/>
      <protection/>
    </xf>
    <xf numFmtId="4" fontId="34" fillId="0" borderId="77" xfId="67" applyNumberFormat="1" applyFont="1" applyFill="1" applyBorder="1">
      <alignment/>
      <protection/>
    </xf>
    <xf numFmtId="4" fontId="34" fillId="0" borderId="131" xfId="67" applyNumberFormat="1" applyFont="1" applyFill="1" applyBorder="1">
      <alignment/>
      <protection/>
    </xf>
    <xf numFmtId="3" fontId="34" fillId="0" borderId="65" xfId="67" applyNumberFormat="1" applyFont="1" applyFill="1" applyBorder="1">
      <alignment/>
      <protection/>
    </xf>
    <xf numFmtId="3" fontId="34" fillId="0" borderId="76" xfId="67" applyNumberFormat="1" applyFont="1" applyFill="1" applyBorder="1">
      <alignment/>
      <protection/>
    </xf>
    <xf numFmtId="3" fontId="34" fillId="0" borderId="66" xfId="67" applyNumberFormat="1" applyFont="1" applyFill="1" applyBorder="1">
      <alignment/>
      <protection/>
    </xf>
    <xf numFmtId="3" fontId="34" fillId="0" borderId="132" xfId="67" applyNumberFormat="1" applyFont="1" applyFill="1" applyBorder="1">
      <alignment/>
      <protection/>
    </xf>
    <xf numFmtId="3" fontId="34" fillId="0" borderId="133" xfId="67" applyNumberFormat="1" applyFont="1" applyFill="1" applyBorder="1">
      <alignment/>
      <protection/>
    </xf>
    <xf numFmtId="3" fontId="34" fillId="0" borderId="69" xfId="67" applyNumberFormat="1" applyFont="1" applyFill="1" applyBorder="1">
      <alignment/>
      <protection/>
    </xf>
    <xf numFmtId="0" fontId="34" fillId="0" borderId="77" xfId="67" applyFont="1" applyBorder="1">
      <alignment/>
      <protection/>
    </xf>
    <xf numFmtId="4" fontId="34" fillId="0" borderId="69" xfId="67" applyNumberFormat="1" applyFont="1" applyFill="1" applyBorder="1">
      <alignment/>
      <protection/>
    </xf>
    <xf numFmtId="4" fontId="34" fillId="0" borderId="132" xfId="67" applyNumberFormat="1" applyFont="1" applyFill="1" applyBorder="1">
      <alignment/>
      <protection/>
    </xf>
    <xf numFmtId="3" fontId="34" fillId="0" borderId="19" xfId="67" applyNumberFormat="1" applyFont="1" applyFill="1" applyBorder="1">
      <alignment/>
      <protection/>
    </xf>
    <xf numFmtId="3" fontId="34" fillId="0" borderId="129" xfId="67" applyNumberFormat="1" applyFont="1" applyFill="1" applyBorder="1">
      <alignment/>
      <protection/>
    </xf>
    <xf numFmtId="0" fontId="34" fillId="0" borderId="69" xfId="67" applyFont="1" applyFill="1" applyBorder="1">
      <alignment/>
      <protection/>
    </xf>
    <xf numFmtId="4" fontId="34" fillId="0" borderId="56" xfId="67" applyNumberFormat="1" applyFont="1" applyBorder="1">
      <alignment/>
      <protection/>
    </xf>
    <xf numFmtId="3" fontId="34" fillId="0" borderId="56" xfId="67" applyNumberFormat="1" applyFont="1" applyBorder="1">
      <alignment/>
      <protection/>
    </xf>
    <xf numFmtId="4" fontId="34" fillId="0" borderId="129" xfId="67" applyNumberFormat="1" applyFont="1" applyBorder="1">
      <alignment/>
      <protection/>
    </xf>
    <xf numFmtId="0" fontId="34" fillId="0" borderId="66" xfId="67" applyFont="1" applyFill="1" applyBorder="1">
      <alignment/>
      <protection/>
    </xf>
    <xf numFmtId="4" fontId="34" fillId="0" borderId="69" xfId="67" applyNumberFormat="1" applyFont="1" applyBorder="1">
      <alignment/>
      <protection/>
    </xf>
    <xf numFmtId="3" fontId="34" fillId="0" borderId="77" xfId="67" applyNumberFormat="1" applyFont="1" applyBorder="1">
      <alignment/>
      <protection/>
    </xf>
    <xf numFmtId="4" fontId="34" fillId="0" borderId="131" xfId="67" applyNumberFormat="1" applyFont="1" applyBorder="1">
      <alignment/>
      <protection/>
    </xf>
    <xf numFmtId="4" fontId="34" fillId="0" borderId="52" xfId="67" applyNumberFormat="1" applyFont="1" applyBorder="1">
      <alignment/>
      <protection/>
    </xf>
    <xf numFmtId="4" fontId="34" fillId="0" borderId="78" xfId="67" applyNumberFormat="1" applyFont="1" applyBorder="1">
      <alignment/>
      <protection/>
    </xf>
    <xf numFmtId="3" fontId="34" fillId="0" borderId="74" xfId="67" applyNumberFormat="1" applyFont="1" applyFill="1" applyBorder="1">
      <alignment/>
      <protection/>
    </xf>
    <xf numFmtId="3" fontId="34" fillId="0" borderId="79" xfId="67" applyNumberFormat="1" applyFont="1" applyFill="1" applyBorder="1">
      <alignment/>
      <protection/>
    </xf>
    <xf numFmtId="4" fontId="34" fillId="0" borderId="68" xfId="67" applyNumberFormat="1" applyFont="1" applyBorder="1">
      <alignment/>
      <protection/>
    </xf>
    <xf numFmtId="3" fontId="34" fillId="0" borderId="68" xfId="67" applyNumberFormat="1" applyFont="1" applyBorder="1">
      <alignment/>
      <protection/>
    </xf>
    <xf numFmtId="4" fontId="34" fillId="0" borderId="74" xfId="67" applyNumberFormat="1" applyFont="1" applyBorder="1">
      <alignment/>
      <protection/>
    </xf>
    <xf numFmtId="3" fontId="34" fillId="0" borderId="131" xfId="67" applyNumberFormat="1" applyFont="1" applyFill="1" applyBorder="1">
      <alignment/>
      <protection/>
    </xf>
    <xf numFmtId="4" fontId="34" fillId="0" borderId="77" xfId="67" applyNumberFormat="1" applyFont="1" applyBorder="1">
      <alignment/>
      <protection/>
    </xf>
    <xf numFmtId="4" fontId="34" fillId="0" borderId="54" xfId="67" applyNumberFormat="1" applyFont="1" applyBorder="1">
      <alignment/>
      <protection/>
    </xf>
    <xf numFmtId="3" fontId="34" fillId="0" borderId="54" xfId="67" applyNumberFormat="1" applyFont="1" applyBorder="1">
      <alignment/>
      <protection/>
    </xf>
    <xf numFmtId="4" fontId="34" fillId="0" borderId="63" xfId="67" applyNumberFormat="1" applyFont="1" applyBorder="1">
      <alignment/>
      <protection/>
    </xf>
    <xf numFmtId="4" fontId="34" fillId="0" borderId="132" xfId="67" applyNumberFormat="1" applyFont="1" applyBorder="1">
      <alignment/>
      <protection/>
    </xf>
    <xf numFmtId="4" fontId="34" fillId="0" borderId="19" xfId="67" applyNumberFormat="1" applyFont="1" applyBorder="1">
      <alignment/>
      <protection/>
    </xf>
    <xf numFmtId="0" fontId="43" fillId="0" borderId="52" xfId="67" applyFont="1" applyFill="1" applyBorder="1">
      <alignment/>
      <protection/>
    </xf>
    <xf numFmtId="3" fontId="43" fillId="0" borderId="19" xfId="67" applyNumberFormat="1" applyFont="1" applyFill="1" applyBorder="1">
      <alignment/>
      <protection/>
    </xf>
    <xf numFmtId="4" fontId="43" fillId="0" borderId="52" xfId="67" applyNumberFormat="1" applyFont="1" applyBorder="1">
      <alignment/>
      <protection/>
    </xf>
    <xf numFmtId="4" fontId="43" fillId="0" borderId="19" xfId="67" applyNumberFormat="1" applyFont="1" applyBorder="1">
      <alignment/>
      <protection/>
    </xf>
    <xf numFmtId="0" fontId="34" fillId="0" borderId="0" xfId="67" applyFont="1" applyBorder="1">
      <alignment/>
      <protection/>
    </xf>
    <xf numFmtId="3" fontId="43" fillId="0" borderId="0" xfId="67" applyNumberFormat="1" applyFont="1" applyFill="1" applyBorder="1">
      <alignment/>
      <protection/>
    </xf>
    <xf numFmtId="4" fontId="34" fillId="0" borderId="0" xfId="67" applyNumberFormat="1" applyFont="1" applyFill="1" applyBorder="1">
      <alignment/>
      <protection/>
    </xf>
    <xf numFmtId="0" fontId="34" fillId="0" borderId="0" xfId="67" applyFont="1" applyFill="1" applyBorder="1">
      <alignment/>
      <protection/>
    </xf>
    <xf numFmtId="0" fontId="95" fillId="0" borderId="0" xfId="67" applyFont="1">
      <alignment/>
      <protection/>
    </xf>
    <xf numFmtId="0" fontId="43" fillId="0" borderId="0" xfId="67" applyFont="1" applyFill="1">
      <alignment/>
      <protection/>
    </xf>
    <xf numFmtId="3" fontId="34" fillId="0" borderId="0" xfId="67" applyNumberFormat="1" applyFont="1">
      <alignment/>
      <protection/>
    </xf>
    <xf numFmtId="3" fontId="34" fillId="0" borderId="0" xfId="67" applyNumberFormat="1" applyFont="1" applyBorder="1">
      <alignment/>
      <protection/>
    </xf>
    <xf numFmtId="3" fontId="36" fillId="0" borderId="96" xfId="68" applyNumberFormat="1" applyFont="1" applyFill="1" applyBorder="1">
      <alignment/>
      <protection/>
    </xf>
    <xf numFmtId="3" fontId="36" fillId="0" borderId="105" xfId="68" applyNumberFormat="1" applyFont="1" applyFill="1" applyBorder="1">
      <alignment/>
      <protection/>
    </xf>
    <xf numFmtId="3" fontId="36" fillId="0" borderId="52" xfId="68" applyNumberFormat="1" applyFont="1" applyFill="1" applyBorder="1">
      <alignment/>
      <protection/>
    </xf>
    <xf numFmtId="3" fontId="114" fillId="0" borderId="92" xfId="68" applyNumberFormat="1" applyFont="1" applyFill="1" applyBorder="1">
      <alignment/>
      <protection/>
    </xf>
    <xf numFmtId="3" fontId="114" fillId="0" borderId="83" xfId="68" applyNumberFormat="1" applyFont="1" applyFill="1" applyBorder="1">
      <alignment/>
      <protection/>
    </xf>
    <xf numFmtId="3" fontId="114" fillId="0" borderId="53" xfId="68" applyNumberFormat="1" applyFont="1" applyFill="1" applyBorder="1">
      <alignment/>
      <protection/>
    </xf>
    <xf numFmtId="3" fontId="114" fillId="0" borderId="47" xfId="68" applyNumberFormat="1" applyFont="1" applyFill="1" applyBorder="1">
      <alignment/>
      <protection/>
    </xf>
    <xf numFmtId="3" fontId="114" fillId="0" borderId="94" xfId="68" applyNumberFormat="1" applyFont="1" applyFill="1" applyBorder="1">
      <alignment/>
      <protection/>
    </xf>
    <xf numFmtId="182" fontId="114" fillId="0" borderId="47" xfId="68" applyNumberFormat="1" applyFont="1" applyFill="1" applyBorder="1">
      <alignment/>
      <protection/>
    </xf>
    <xf numFmtId="3" fontId="114" fillId="0" borderId="0" xfId="68" applyNumberFormat="1" applyFont="1" applyFill="1" applyBorder="1">
      <alignment/>
      <protection/>
    </xf>
    <xf numFmtId="3" fontId="113" fillId="0" borderId="0" xfId="68" applyNumberFormat="1" applyFont="1" applyFill="1">
      <alignment/>
      <protection/>
    </xf>
    <xf numFmtId="0" fontId="91" fillId="0" borderId="0" xfId="55" applyFont="1">
      <alignment/>
      <protection/>
    </xf>
    <xf numFmtId="0" fontId="91" fillId="0" borderId="0" xfId="55" applyFont="1" applyAlignment="1">
      <alignment horizontal="righ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0" fontId="34" fillId="0" borderId="0" xfId="55" applyAlignment="1">
      <alignment horizontal="right"/>
      <protection/>
    </xf>
    <xf numFmtId="0" fontId="84" fillId="0" borderId="134" xfId="55" applyFont="1" applyBorder="1" applyAlignment="1">
      <alignment horizontal="center"/>
      <protection/>
    </xf>
    <xf numFmtId="0" fontId="121" fillId="0" borderId="135" xfId="55" applyFont="1" applyBorder="1" applyAlignment="1">
      <alignment horizontal="center" wrapText="1"/>
      <protection/>
    </xf>
    <xf numFmtId="0" fontId="84" fillId="0" borderId="135" xfId="55" applyFont="1" applyBorder="1" applyAlignment="1">
      <alignment horizontal="center" wrapText="1"/>
      <protection/>
    </xf>
    <xf numFmtId="0" fontId="84" fillId="0" borderId="136" xfId="55" applyFont="1" applyFill="1" applyBorder="1" applyAlignment="1">
      <alignment horizontal="center" wrapText="1"/>
      <protection/>
    </xf>
    <xf numFmtId="0" fontId="84" fillId="0" borderId="135" xfId="55" applyFont="1" applyFill="1" applyBorder="1" applyAlignment="1">
      <alignment horizontal="center" wrapText="1"/>
      <protection/>
    </xf>
    <xf numFmtId="0" fontId="84" fillId="0" borderId="74" xfId="55" applyFont="1" applyFill="1" applyBorder="1" applyAlignment="1">
      <alignment horizontal="center" wrapText="1"/>
      <protection/>
    </xf>
    <xf numFmtId="0" fontId="121" fillId="0" borderId="39" xfId="55" applyFont="1" applyBorder="1" applyAlignment="1">
      <alignment horizontal="center"/>
      <protection/>
    </xf>
    <xf numFmtId="0" fontId="121" fillId="0" borderId="40" xfId="55" applyFont="1" applyBorder="1">
      <alignment/>
      <protection/>
    </xf>
    <xf numFmtId="0" fontId="10" fillId="0" borderId="40" xfId="55" applyFont="1" applyBorder="1">
      <alignment/>
      <protection/>
    </xf>
    <xf numFmtId="0" fontId="45" fillId="0" borderId="40" xfId="55" applyFont="1" applyBorder="1">
      <alignment/>
      <protection/>
    </xf>
    <xf numFmtId="0" fontId="45" fillId="0" borderId="70" xfId="55" applyFont="1" applyBorder="1">
      <alignment/>
      <protection/>
    </xf>
    <xf numFmtId="0" fontId="45" fillId="0" borderId="40" xfId="55" applyFont="1" applyFill="1" applyBorder="1">
      <alignment/>
      <protection/>
    </xf>
    <xf numFmtId="0" fontId="45" fillId="0" borderId="71" xfId="55" applyFont="1" applyFill="1" applyBorder="1">
      <alignment/>
      <protection/>
    </xf>
    <xf numFmtId="0" fontId="84" fillId="0" borderId="42" xfId="55" applyFont="1" applyBorder="1">
      <alignment/>
      <protection/>
    </xf>
    <xf numFmtId="3" fontId="121" fillId="0" borderId="35" xfId="55" applyNumberFormat="1" applyFont="1" applyBorder="1">
      <alignment/>
      <protection/>
    </xf>
    <xf numFmtId="3" fontId="84" fillId="0" borderId="35" xfId="55" applyNumberFormat="1" applyFont="1" applyFill="1" applyBorder="1">
      <alignment/>
      <protection/>
    </xf>
    <xf numFmtId="3" fontId="84" fillId="0" borderId="38" xfId="55" applyNumberFormat="1" applyFont="1" applyBorder="1">
      <alignment/>
      <protection/>
    </xf>
    <xf numFmtId="3" fontId="84" fillId="0" borderId="38" xfId="55" applyNumberFormat="1" applyFont="1" applyFill="1" applyBorder="1">
      <alignment/>
      <protection/>
    </xf>
    <xf numFmtId="3" fontId="84" fillId="0" borderId="129" xfId="55" applyNumberFormat="1" applyFont="1" applyFill="1" applyBorder="1">
      <alignment/>
      <protection/>
    </xf>
    <xf numFmtId="0" fontId="10" fillId="0" borderId="42" xfId="55" applyFont="1" applyBorder="1">
      <alignment/>
      <protection/>
    </xf>
    <xf numFmtId="3" fontId="35" fillId="0" borderId="35" xfId="55" applyNumberFormat="1" applyFont="1" applyBorder="1">
      <alignment/>
      <protection/>
    </xf>
    <xf numFmtId="3" fontId="10" fillId="0" borderId="35" xfId="55" applyNumberFormat="1" applyFont="1" applyFill="1" applyBorder="1">
      <alignment/>
      <protection/>
    </xf>
    <xf numFmtId="3" fontId="10" fillId="0" borderId="38" xfId="55" applyNumberFormat="1" applyFont="1" applyFill="1" applyBorder="1">
      <alignment/>
      <protection/>
    </xf>
    <xf numFmtId="3" fontId="10" fillId="0" borderId="129" xfId="55" applyNumberFormat="1" applyFont="1" applyFill="1" applyBorder="1">
      <alignment/>
      <protection/>
    </xf>
    <xf numFmtId="3" fontId="34" fillId="0" borderId="0" xfId="55" applyNumberFormat="1" applyFill="1">
      <alignment/>
      <protection/>
    </xf>
    <xf numFmtId="3" fontId="10" fillId="0" borderId="35" xfId="55" applyNumberFormat="1" applyFont="1" applyBorder="1" applyAlignment="1">
      <alignment horizontal="center"/>
      <protection/>
    </xf>
    <xf numFmtId="3" fontId="10" fillId="0" borderId="38" xfId="55" applyNumberFormat="1" applyFont="1" applyFill="1" applyBorder="1" applyAlignment="1">
      <alignment horizontal="center"/>
      <protection/>
    </xf>
    <xf numFmtId="3" fontId="10" fillId="0" borderId="35" xfId="55" applyNumberFormat="1" applyFont="1" applyFill="1" applyBorder="1" applyAlignment="1">
      <alignment horizontal="center"/>
      <protection/>
    </xf>
    <xf numFmtId="0" fontId="34" fillId="0" borderId="0" xfId="55" applyFont="1" applyFill="1">
      <alignment/>
      <protection/>
    </xf>
    <xf numFmtId="4" fontId="34" fillId="0" borderId="0" xfId="55" applyNumberFormat="1" applyFill="1">
      <alignment/>
      <protection/>
    </xf>
    <xf numFmtId="0" fontId="35" fillId="0" borderId="35" xfId="55" applyFont="1" applyBorder="1">
      <alignment/>
      <protection/>
    </xf>
    <xf numFmtId="0" fontId="10" fillId="0" borderId="35" xfId="55" applyFont="1" applyBorder="1">
      <alignment/>
      <protection/>
    </xf>
    <xf numFmtId="0" fontId="45" fillId="0" borderId="35" xfId="55" applyFont="1" applyBorder="1">
      <alignment/>
      <protection/>
    </xf>
    <xf numFmtId="3" fontId="45" fillId="0" borderId="38" xfId="55" applyNumberFormat="1" applyFont="1" applyBorder="1">
      <alignment/>
      <protection/>
    </xf>
    <xf numFmtId="3" fontId="45" fillId="0" borderId="38" xfId="55" applyNumberFormat="1" applyFont="1" applyFill="1" applyBorder="1">
      <alignment/>
      <protection/>
    </xf>
    <xf numFmtId="3" fontId="45" fillId="0" borderId="35" xfId="55" applyNumberFormat="1" applyFont="1" applyFill="1" applyBorder="1">
      <alignment/>
      <protection/>
    </xf>
    <xf numFmtId="3" fontId="45" fillId="0" borderId="129" xfId="55" applyNumberFormat="1" applyFont="1" applyFill="1" applyBorder="1">
      <alignment/>
      <protection/>
    </xf>
    <xf numFmtId="3" fontId="84" fillId="0" borderId="35" xfId="55" applyNumberFormat="1" applyFont="1" applyBorder="1">
      <alignment/>
      <protection/>
    </xf>
    <xf numFmtId="0" fontId="121" fillId="0" borderId="0" xfId="55" applyFont="1" applyFill="1">
      <alignment/>
      <protection/>
    </xf>
    <xf numFmtId="0" fontId="121" fillId="0" borderId="0" xfId="55" applyFont="1">
      <alignment/>
      <protection/>
    </xf>
    <xf numFmtId="3" fontId="84" fillId="0" borderId="35" xfId="55" applyNumberFormat="1" applyFont="1" applyFill="1" applyBorder="1" applyAlignment="1">
      <alignment horizontal="right"/>
      <protection/>
    </xf>
    <xf numFmtId="3" fontId="84" fillId="0" borderId="35" xfId="55" applyNumberFormat="1" applyFont="1" applyFill="1" applyBorder="1" applyAlignment="1">
      <alignment horizontal="center"/>
      <protection/>
    </xf>
    <xf numFmtId="3" fontId="84" fillId="0" borderId="129" xfId="55" applyNumberFormat="1" applyFont="1" applyFill="1" applyBorder="1" applyAlignment="1">
      <alignment horizontal="center"/>
      <protection/>
    </xf>
    <xf numFmtId="3" fontId="121" fillId="0" borderId="0" xfId="55" applyNumberFormat="1" applyFont="1" applyFill="1">
      <alignment/>
      <protection/>
    </xf>
    <xf numFmtId="3" fontId="10" fillId="0" borderId="35" xfId="55" applyNumberFormat="1" applyFont="1" applyBorder="1">
      <alignment/>
      <protection/>
    </xf>
    <xf numFmtId="3" fontId="10" fillId="0" borderId="38" xfId="55" applyNumberFormat="1" applyFont="1" applyBorder="1">
      <alignment/>
      <protection/>
    </xf>
    <xf numFmtId="3" fontId="45" fillId="0" borderId="35" xfId="55" applyNumberFormat="1" applyFont="1" applyBorder="1">
      <alignment/>
      <protection/>
    </xf>
    <xf numFmtId="0" fontId="34" fillId="0" borderId="35" xfId="55" applyBorder="1">
      <alignment/>
      <protection/>
    </xf>
    <xf numFmtId="3" fontId="34" fillId="0" borderId="38" xfId="55" applyNumberFormat="1" applyBorder="1">
      <alignment/>
      <protection/>
    </xf>
    <xf numFmtId="3" fontId="34" fillId="0" borderId="38" xfId="55" applyNumberFormat="1" applyFill="1" applyBorder="1">
      <alignment/>
      <protection/>
    </xf>
    <xf numFmtId="0" fontId="34" fillId="0" borderId="35" xfId="55" applyFill="1" applyBorder="1">
      <alignment/>
      <protection/>
    </xf>
    <xf numFmtId="0" fontId="34" fillId="0" borderId="129" xfId="55" applyFill="1" applyBorder="1">
      <alignment/>
      <protection/>
    </xf>
    <xf numFmtId="2" fontId="35" fillId="0" borderId="35" xfId="55" applyNumberFormat="1" applyFont="1" applyBorder="1">
      <alignment/>
      <protection/>
    </xf>
    <xf numFmtId="2" fontId="10" fillId="0" borderId="35" xfId="55" applyNumberFormat="1" applyFont="1" applyBorder="1">
      <alignment/>
      <protection/>
    </xf>
    <xf numFmtId="2" fontId="10" fillId="0" borderId="38" xfId="55" applyNumberFormat="1" applyFont="1" applyFill="1" applyBorder="1">
      <alignment/>
      <protection/>
    </xf>
    <xf numFmtId="2" fontId="10" fillId="0" borderId="35" xfId="55" applyNumberFormat="1" applyFont="1" applyFill="1" applyBorder="1">
      <alignment/>
      <protection/>
    </xf>
    <xf numFmtId="2" fontId="10" fillId="0" borderId="35" xfId="55" applyNumberFormat="1" applyFont="1" applyFill="1" applyBorder="1" applyAlignment="1">
      <alignment horizontal="right"/>
      <protection/>
    </xf>
    <xf numFmtId="2" fontId="10" fillId="0" borderId="129" xfId="55" applyNumberFormat="1" applyFont="1" applyFill="1" applyBorder="1">
      <alignment/>
      <protection/>
    </xf>
    <xf numFmtId="2" fontId="10" fillId="0" borderId="38" xfId="55" applyNumberFormat="1" applyFont="1" applyFill="1" applyBorder="1" applyAlignment="1">
      <alignment horizontal="right"/>
      <protection/>
    </xf>
    <xf numFmtId="2" fontId="10" fillId="0" borderId="129" xfId="55" applyNumberFormat="1" applyFont="1" applyFill="1" applyBorder="1" applyAlignment="1">
      <alignment horizontal="right"/>
      <protection/>
    </xf>
    <xf numFmtId="2" fontId="10" fillId="0" borderId="38" xfId="55" applyNumberFormat="1" applyFont="1" applyBorder="1" applyAlignment="1">
      <alignment horizontal="right"/>
      <protection/>
    </xf>
    <xf numFmtId="0" fontId="45" fillId="0" borderId="35" xfId="55" applyFont="1" applyFill="1" applyBorder="1">
      <alignment/>
      <protection/>
    </xf>
    <xf numFmtId="0" fontId="45" fillId="0" borderId="35" xfId="55" applyFont="1" applyFill="1" applyBorder="1" applyAlignment="1">
      <alignment horizontal="right"/>
      <protection/>
    </xf>
    <xf numFmtId="0" fontId="45" fillId="0" borderId="129" xfId="55" applyFont="1" applyFill="1" applyBorder="1">
      <alignment/>
      <protection/>
    </xf>
    <xf numFmtId="3" fontId="10" fillId="0" borderId="35" xfId="55" applyNumberFormat="1" applyFont="1" applyFill="1" applyBorder="1" applyAlignment="1">
      <alignment horizontal="right"/>
      <protection/>
    </xf>
    <xf numFmtId="2" fontId="10" fillId="0" borderId="38" xfId="55" applyNumberFormat="1" applyFont="1" applyBorder="1">
      <alignment/>
      <protection/>
    </xf>
    <xf numFmtId="0" fontId="10" fillId="0" borderId="43" xfId="55" applyFont="1" applyBorder="1">
      <alignment/>
      <protection/>
    </xf>
    <xf numFmtId="0" fontId="35" fillId="0" borderId="44" xfId="55" applyFont="1" applyBorder="1">
      <alignment/>
      <protection/>
    </xf>
    <xf numFmtId="2" fontId="35" fillId="0" borderId="44" xfId="55" applyNumberFormat="1" applyFont="1" applyBorder="1">
      <alignment/>
      <protection/>
    </xf>
    <xf numFmtId="4" fontId="10" fillId="0" borderId="44" xfId="55" applyNumberFormat="1" applyFont="1" applyBorder="1">
      <alignment/>
      <protection/>
    </xf>
    <xf numFmtId="4" fontId="10" fillId="0" borderId="44" xfId="55" applyNumberFormat="1" applyFont="1" applyFill="1" applyBorder="1">
      <alignment/>
      <protection/>
    </xf>
    <xf numFmtId="4" fontId="10" fillId="0" borderId="44" xfId="55" applyNumberFormat="1" applyFont="1" applyFill="1" applyBorder="1" applyAlignment="1">
      <alignment horizontal="right"/>
      <protection/>
    </xf>
    <xf numFmtId="4" fontId="10" fillId="0" borderId="131" xfId="55" applyNumberFormat="1" applyFont="1" applyFill="1" applyBorder="1">
      <alignment/>
      <protection/>
    </xf>
    <xf numFmtId="0" fontId="10" fillId="0" borderId="0" xfId="55" applyFont="1" applyBorder="1">
      <alignment/>
      <protection/>
    </xf>
    <xf numFmtId="0" fontId="35" fillId="0" borderId="0" xfId="55" applyFont="1" applyBorder="1">
      <alignment/>
      <protection/>
    </xf>
    <xf numFmtId="2" fontId="35" fillId="0" borderId="0" xfId="55" applyNumberFormat="1" applyFont="1" applyBorder="1">
      <alignment/>
      <protection/>
    </xf>
    <xf numFmtId="4" fontId="10" fillId="0" borderId="0" xfId="55" applyNumberFormat="1" applyFont="1" applyBorder="1">
      <alignment/>
      <protection/>
    </xf>
    <xf numFmtId="4" fontId="10" fillId="0" borderId="0" xfId="55" applyNumberFormat="1" applyFont="1" applyFill="1" applyBorder="1">
      <alignment/>
      <protection/>
    </xf>
    <xf numFmtId="0" fontId="34" fillId="0" borderId="0" xfId="55" applyBorder="1">
      <alignment/>
      <protection/>
    </xf>
    <xf numFmtId="0" fontId="35" fillId="0" borderId="0" xfId="55" applyFont="1" applyFill="1">
      <alignment/>
      <protection/>
    </xf>
    <xf numFmtId="0" fontId="34" fillId="0" borderId="0" xfId="55" applyBorder="1" applyAlignment="1">
      <alignment/>
      <protection/>
    </xf>
    <xf numFmtId="0" fontId="34" fillId="0" borderId="0" xfId="55" applyAlignment="1">
      <alignment/>
      <protection/>
    </xf>
    <xf numFmtId="0" fontId="57" fillId="0" borderId="0" xfId="0" applyFont="1" applyBorder="1" applyAlignment="1">
      <alignment/>
    </xf>
    <xf numFmtId="0" fontId="36" fillId="0" borderId="0" xfId="55" applyFont="1">
      <alignment/>
      <protection/>
    </xf>
    <xf numFmtId="0" fontId="36" fillId="0" borderId="0" xfId="55" applyFont="1" applyBorder="1" applyAlignment="1">
      <alignment/>
      <protection/>
    </xf>
    <xf numFmtId="0" fontId="36" fillId="0" borderId="0" xfId="55" applyFont="1" applyAlignment="1">
      <alignment/>
      <protection/>
    </xf>
    <xf numFmtId="0" fontId="36" fillId="0" borderId="0" xfId="55" applyFont="1" applyFill="1">
      <alignment/>
      <protection/>
    </xf>
    <xf numFmtId="4" fontId="34" fillId="0" borderId="0" xfId="55" applyNumberFormat="1">
      <alignment/>
      <protection/>
    </xf>
    <xf numFmtId="3" fontId="34" fillId="0" borderId="105" xfId="68" applyNumberFormat="1" applyFont="1" applyFill="1" applyBorder="1">
      <alignment/>
      <protection/>
    </xf>
    <xf numFmtId="0" fontId="91" fillId="19" borderId="92" xfId="0" applyFont="1" applyFill="1" applyBorder="1" applyAlignment="1">
      <alignment horizontal="center" vertical="center"/>
    </xf>
    <xf numFmtId="0" fontId="43" fillId="19" borderId="47" xfId="0" applyFont="1" applyFill="1" applyBorder="1" applyAlignment="1">
      <alignment horizontal="center" vertical="center"/>
    </xf>
    <xf numFmtId="0" fontId="43" fillId="19" borderId="92" xfId="0" applyFont="1" applyFill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 wrapText="1"/>
    </xf>
    <xf numFmtId="0" fontId="43" fillId="19" borderId="83" xfId="0" applyFont="1" applyFill="1" applyBorder="1" applyAlignment="1">
      <alignment horizontal="center" vertical="center"/>
    </xf>
    <xf numFmtId="0" fontId="43" fillId="19" borderId="53" xfId="0" applyFont="1" applyFill="1" applyBorder="1" applyAlignment="1">
      <alignment horizontal="center" vertical="center"/>
    </xf>
    <xf numFmtId="0" fontId="124" fillId="0" borderId="0" xfId="0" applyFont="1" applyAlignment="1">
      <alignment/>
    </xf>
    <xf numFmtId="0" fontId="114" fillId="0" borderId="68" xfId="56" applyFont="1" applyFill="1" applyBorder="1" applyAlignment="1">
      <alignment horizontal="center" vertical="center" wrapText="1"/>
      <protection/>
    </xf>
    <xf numFmtId="0" fontId="114" fillId="0" borderId="66" xfId="56" applyFont="1" applyFill="1" applyBorder="1" applyAlignment="1">
      <alignment horizontal="center" vertical="center" wrapText="1"/>
      <protection/>
    </xf>
    <xf numFmtId="0" fontId="114" fillId="0" borderId="64" xfId="56" applyFont="1" applyFill="1" applyBorder="1" applyAlignment="1">
      <alignment horizontal="center" vertical="center" wrapText="1"/>
      <protection/>
    </xf>
    <xf numFmtId="0" fontId="91" fillId="0" borderId="0" xfId="56" applyFont="1" applyFill="1" applyAlignment="1">
      <alignment horizontal="left"/>
      <protection/>
    </xf>
    <xf numFmtId="0" fontId="114" fillId="0" borderId="79" xfId="56" applyFont="1" applyFill="1" applyBorder="1" applyAlignment="1">
      <alignment horizontal="center" vertical="center" wrapText="1"/>
      <protection/>
    </xf>
    <xf numFmtId="0" fontId="114" fillId="0" borderId="74" xfId="56" applyFont="1" applyFill="1" applyBorder="1" applyAlignment="1">
      <alignment horizontal="center" vertical="center" wrapText="1"/>
      <protection/>
    </xf>
    <xf numFmtId="0" fontId="114" fillId="0" borderId="48" xfId="56" applyFont="1" applyFill="1" applyBorder="1" applyAlignment="1">
      <alignment horizontal="center" vertical="center" wrapText="1"/>
      <protection/>
    </xf>
    <xf numFmtId="0" fontId="114" fillId="0" borderId="78" xfId="56" applyFont="1" applyFill="1" applyBorder="1" applyAlignment="1">
      <alignment horizontal="center" vertical="center" wrapText="1"/>
      <protection/>
    </xf>
    <xf numFmtId="0" fontId="107" fillId="0" borderId="0" xfId="57" applyFont="1" applyFill="1" applyAlignment="1">
      <alignment horizontal="right"/>
      <protection/>
    </xf>
    <xf numFmtId="49" fontId="97" fillId="0" borderId="0" xfId="56" applyNumberFormat="1" applyFont="1" applyFill="1" applyAlignment="1">
      <alignment horizontal="center" wrapText="1"/>
      <protection/>
    </xf>
    <xf numFmtId="0" fontId="98" fillId="0" borderId="0" xfId="56" applyFont="1" applyFill="1" applyAlignment="1">
      <alignment horizontal="center" wrapText="1"/>
      <protection/>
    </xf>
    <xf numFmtId="0" fontId="113" fillId="0" borderId="75" xfId="56" applyFont="1" applyFill="1" applyBorder="1" applyAlignment="1">
      <alignment horizontal="center"/>
      <protection/>
    </xf>
    <xf numFmtId="0" fontId="113" fillId="0" borderId="56" xfId="56" applyFont="1" applyFill="1" applyBorder="1" applyAlignment="1">
      <alignment horizontal="center"/>
      <protection/>
    </xf>
    <xf numFmtId="0" fontId="113" fillId="0" borderId="69" xfId="56" applyFont="1" applyFill="1" applyBorder="1" applyAlignment="1">
      <alignment horizontal="center"/>
      <protection/>
    </xf>
    <xf numFmtId="0" fontId="114" fillId="0" borderId="74" xfId="56" applyFont="1" applyFill="1" applyBorder="1" applyAlignment="1">
      <alignment horizontal="center" vertical="center"/>
      <protection/>
    </xf>
    <xf numFmtId="0" fontId="114" fillId="0" borderId="65" xfId="56" applyFont="1" applyFill="1" applyBorder="1" applyAlignment="1">
      <alignment horizontal="center" vertical="center"/>
      <protection/>
    </xf>
    <xf numFmtId="0" fontId="114" fillId="0" borderId="78" xfId="56" applyFont="1" applyFill="1" applyBorder="1" applyAlignment="1">
      <alignment horizontal="center" vertical="center"/>
      <protection/>
    </xf>
    <xf numFmtId="0" fontId="114" fillId="0" borderId="76" xfId="56" applyFont="1" applyFill="1" applyBorder="1" applyAlignment="1">
      <alignment horizontal="center" vertical="center" wrapText="1"/>
      <protection/>
    </xf>
    <xf numFmtId="0" fontId="113" fillId="0" borderId="48" xfId="56" applyFont="1" applyFill="1" applyBorder="1" applyAlignment="1">
      <alignment horizontal="center" vertical="center" wrapText="1"/>
      <protection/>
    </xf>
    <xf numFmtId="0" fontId="113" fillId="0" borderId="78" xfId="56" applyFont="1" applyFill="1" applyBorder="1" applyAlignment="1">
      <alignment horizontal="center" vertical="center" wrapText="1"/>
      <protection/>
    </xf>
    <xf numFmtId="0" fontId="91" fillId="0" borderId="68" xfId="56" applyFont="1" applyFill="1" applyBorder="1" applyAlignment="1">
      <alignment horizontal="center" vertical="center" wrapText="1"/>
      <protection/>
    </xf>
    <xf numFmtId="0" fontId="91" fillId="0" borderId="64" xfId="56" applyFont="1" applyFill="1" applyBorder="1" applyAlignment="1">
      <alignment horizontal="center" vertical="center" wrapText="1"/>
      <protection/>
    </xf>
    <xf numFmtId="0" fontId="89" fillId="0" borderId="0" xfId="56" applyFont="1" applyFill="1" applyAlignment="1">
      <alignment horizontal="right"/>
      <protection/>
    </xf>
    <xf numFmtId="0" fontId="102" fillId="0" borderId="0" xfId="56" applyFont="1" applyFill="1" applyAlignment="1">
      <alignment horizontal="center" wrapText="1"/>
      <protection/>
    </xf>
    <xf numFmtId="0" fontId="89" fillId="0" borderId="68" xfId="56" applyFont="1" applyFill="1" applyBorder="1" applyAlignment="1">
      <alignment horizontal="center" vertical="center"/>
      <protection/>
    </xf>
    <xf numFmtId="0" fontId="89" fillId="0" borderId="64" xfId="56" applyFont="1" applyFill="1" applyBorder="1" applyAlignment="1">
      <alignment horizontal="center" vertical="center"/>
      <protection/>
    </xf>
    <xf numFmtId="0" fontId="34" fillId="0" borderId="42" xfId="0" applyFont="1" applyBorder="1" applyAlignment="1">
      <alignment horizontal="left" vertical="center" wrapText="1" indent="1"/>
    </xf>
    <xf numFmtId="0" fontId="34" fillId="0" borderId="35" xfId="0" applyFont="1" applyBorder="1" applyAlignment="1">
      <alignment horizontal="left" vertical="center" wrapText="1" indent="1"/>
    </xf>
    <xf numFmtId="0" fontId="34" fillId="0" borderId="137" xfId="0" applyFont="1" applyBorder="1" applyAlignment="1">
      <alignment horizontal="left" vertical="center" wrapText="1" indent="1"/>
    </xf>
    <xf numFmtId="0" fontId="34" fillId="0" borderId="80" xfId="0" applyFont="1" applyBorder="1" applyAlignment="1">
      <alignment horizontal="left" vertical="center" wrapText="1" indent="1"/>
    </xf>
    <xf numFmtId="0" fontId="34" fillId="0" borderId="84" xfId="0" applyFont="1" applyBorder="1" applyAlignment="1">
      <alignment horizontal="left" vertical="center" wrapText="1" indent="1"/>
    </xf>
    <xf numFmtId="0" fontId="34" fillId="0" borderId="82" xfId="0" applyFont="1" applyBorder="1" applyAlignment="1">
      <alignment horizontal="left" vertical="center" wrapText="1" indent="1"/>
    </xf>
    <xf numFmtId="0" fontId="91" fillId="19" borderId="94" xfId="0" applyFont="1" applyFill="1" applyBorder="1" applyAlignment="1">
      <alignment horizontal="center" vertical="center"/>
    </xf>
    <xf numFmtId="0" fontId="43" fillId="19" borderId="92" xfId="0" applyFont="1" applyFill="1" applyBorder="1" applyAlignment="1">
      <alignment horizontal="center" vertical="center"/>
    </xf>
    <xf numFmtId="0" fontId="43" fillId="19" borderId="114" xfId="0" applyFont="1" applyFill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92" fillId="19" borderId="92" xfId="0" applyFont="1" applyFill="1" applyBorder="1" applyAlignment="1">
      <alignment horizontal="center" vertical="center" wrapText="1"/>
    </xf>
    <xf numFmtId="0" fontId="58" fillId="0" borderId="94" xfId="0" applyFont="1" applyBorder="1" applyAlignment="1">
      <alignment horizontal="center" vertical="center" wrapText="1"/>
    </xf>
    <xf numFmtId="0" fontId="34" fillId="0" borderId="0" xfId="71" applyFont="1" applyFill="1" applyAlignment="1" applyProtection="1">
      <alignment horizontal="right"/>
      <protection locked="0"/>
    </xf>
    <xf numFmtId="0" fontId="90" fillId="0" borderId="0" xfId="0" applyFont="1" applyAlignment="1">
      <alignment horizontal="center"/>
    </xf>
    <xf numFmtId="0" fontId="43" fillId="0" borderId="84" xfId="0" applyFont="1" applyBorder="1" applyAlignment="1">
      <alignment horizontal="left" vertical="center" wrapText="1" indent="1"/>
    </xf>
    <xf numFmtId="0" fontId="43" fillId="0" borderId="100" xfId="0" applyFont="1" applyBorder="1" applyAlignment="1">
      <alignment horizontal="left" vertical="center" wrapText="1" indent="1"/>
    </xf>
    <xf numFmtId="0" fontId="43" fillId="0" borderId="137" xfId="0" applyFont="1" applyBorder="1" applyAlignment="1">
      <alignment horizontal="left" vertical="center" wrapText="1" indent="1"/>
    </xf>
    <xf numFmtId="0" fontId="91" fillId="19" borderId="92" xfId="0" applyFont="1" applyFill="1" applyBorder="1" applyAlignment="1">
      <alignment horizontal="center" vertical="center" wrapText="1"/>
    </xf>
    <xf numFmtId="0" fontId="91" fillId="19" borderId="94" xfId="0" applyFont="1" applyFill="1" applyBorder="1" applyAlignment="1">
      <alignment/>
    </xf>
    <xf numFmtId="0" fontId="0" fillId="0" borderId="100" xfId="0" applyFont="1" applyBorder="1" applyAlignment="1">
      <alignment horizontal="left" vertical="center" wrapText="1" indent="1"/>
    </xf>
    <xf numFmtId="0" fontId="0" fillId="0" borderId="137" xfId="0" applyFont="1" applyBorder="1" applyAlignment="1">
      <alignment horizontal="left" vertical="center" wrapText="1" indent="1"/>
    </xf>
    <xf numFmtId="0" fontId="91" fillId="19" borderId="115" xfId="0" applyFont="1" applyFill="1" applyBorder="1" applyAlignment="1">
      <alignment horizontal="center" vertical="center" wrapText="1"/>
    </xf>
    <xf numFmtId="0" fontId="91" fillId="19" borderId="117" xfId="0" applyFont="1" applyFill="1" applyBorder="1" applyAlignment="1">
      <alignment/>
    </xf>
    <xf numFmtId="0" fontId="43" fillId="0" borderId="59" xfId="0" applyFont="1" applyBorder="1" applyAlignment="1">
      <alignment horizontal="left" vertical="center" wrapText="1" indent="1"/>
    </xf>
    <xf numFmtId="0" fontId="0" fillId="19" borderId="53" xfId="0" applyFont="1" applyFill="1" applyBorder="1" applyAlignment="1">
      <alignment horizontal="center" vertical="center"/>
    </xf>
    <xf numFmtId="0" fontId="0" fillId="19" borderId="47" xfId="0" applyFont="1" applyFill="1" applyBorder="1" applyAlignment="1">
      <alignment horizontal="center" vertical="center"/>
    </xf>
    <xf numFmtId="0" fontId="0" fillId="19" borderId="53" xfId="0" applyFont="1" applyFill="1" applyBorder="1" applyAlignment="1">
      <alignment horizontal="center" vertical="center"/>
    </xf>
    <xf numFmtId="0" fontId="0" fillId="19" borderId="47" xfId="0" applyFont="1" applyFill="1" applyBorder="1" applyAlignment="1">
      <alignment horizontal="center" vertical="center"/>
    </xf>
    <xf numFmtId="0" fontId="34" fillId="0" borderId="0" xfId="67" applyFont="1" applyAlignment="1">
      <alignment horizontal="right"/>
      <protection/>
    </xf>
    <xf numFmtId="0" fontId="89" fillId="0" borderId="0" xfId="67" applyFont="1" applyAlignment="1">
      <alignment horizontal="center"/>
      <protection/>
    </xf>
    <xf numFmtId="0" fontId="44" fillId="0" borderId="0" xfId="67" applyFont="1" applyAlignment="1">
      <alignment horizontal="right"/>
      <protection/>
    </xf>
    <xf numFmtId="0" fontId="82" fillId="0" borderId="17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8" fillId="0" borderId="0" xfId="0" applyFont="1" applyFill="1" applyBorder="1" applyAlignment="1">
      <alignment horizontal="center"/>
    </xf>
    <xf numFmtId="0" fontId="82" fillId="0" borderId="68" xfId="0" applyFont="1" applyFill="1" applyBorder="1" applyAlignment="1">
      <alignment horizontal="center" vertical="center"/>
    </xf>
    <xf numFmtId="0" fontId="82" fillId="0" borderId="64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109" fillId="0" borderId="0" xfId="65" applyFont="1" applyAlignment="1">
      <alignment horizontal="right"/>
      <protection/>
    </xf>
    <xf numFmtId="0" fontId="11" fillId="0" borderId="0" xfId="65" applyFont="1" applyBorder="1" applyAlignment="1">
      <alignment horizontal="center"/>
      <protection/>
    </xf>
    <xf numFmtId="0" fontId="82" fillId="0" borderId="68" xfId="65" applyFont="1" applyBorder="1" applyAlignment="1">
      <alignment horizontal="center" vertical="center" wrapText="1"/>
      <protection/>
    </xf>
    <xf numFmtId="0" fontId="82" fillId="0" borderId="64" xfId="65" applyFont="1" applyBorder="1" applyAlignment="1">
      <alignment horizontal="center" vertical="center" wrapText="1"/>
      <protection/>
    </xf>
    <xf numFmtId="0" fontId="83" fillId="0" borderId="17" xfId="65" applyFont="1" applyBorder="1" applyAlignment="1">
      <alignment horizontal="center" vertical="center"/>
      <protection/>
    </xf>
    <xf numFmtId="0" fontId="83" fillId="0" borderId="18" xfId="65" applyFont="1" applyBorder="1" applyAlignment="1">
      <alignment horizontal="center" vertical="center"/>
      <protection/>
    </xf>
    <xf numFmtId="0" fontId="83" fillId="0" borderId="19" xfId="65" applyFont="1" applyBorder="1" applyAlignment="1">
      <alignment horizontal="center" vertical="center"/>
      <protection/>
    </xf>
    <xf numFmtId="0" fontId="114" fillId="0" borderId="0" xfId="68" applyFont="1" applyAlignment="1">
      <alignment horizontal="right"/>
      <protection/>
    </xf>
    <xf numFmtId="3" fontId="90" fillId="0" borderId="0" xfId="68" applyNumberFormat="1" applyFont="1" applyFill="1" applyAlignment="1">
      <alignment horizontal="center"/>
      <protection/>
    </xf>
    <xf numFmtId="3" fontId="44" fillId="0" borderId="89" xfId="68" applyNumberFormat="1" applyFont="1" applyFill="1" applyBorder="1" applyAlignment="1">
      <alignment horizontal="center" vertical="center"/>
      <protection/>
    </xf>
    <xf numFmtId="3" fontId="44" fillId="0" borderId="90" xfId="68" applyNumberFormat="1" applyFont="1" applyFill="1" applyBorder="1" applyAlignment="1">
      <alignment horizontal="center" vertical="center"/>
      <protection/>
    </xf>
    <xf numFmtId="3" fontId="44" fillId="0" borderId="91" xfId="68" applyNumberFormat="1" applyFont="1" applyFill="1" applyBorder="1" applyAlignment="1">
      <alignment horizontal="center" vertical="center"/>
      <protection/>
    </xf>
    <xf numFmtId="3" fontId="44" fillId="0" borderId="89" xfId="68" applyNumberFormat="1" applyFont="1" applyFill="1" applyBorder="1" applyAlignment="1">
      <alignment horizontal="center"/>
      <protection/>
    </xf>
    <xf numFmtId="3" fontId="44" fillId="0" borderId="90" xfId="68" applyNumberFormat="1" applyFont="1" applyFill="1" applyBorder="1" applyAlignment="1">
      <alignment horizontal="center"/>
      <protection/>
    </xf>
    <xf numFmtId="3" fontId="44" fillId="0" borderId="91" xfId="68" applyNumberFormat="1" applyFont="1" applyFill="1" applyBorder="1" applyAlignment="1">
      <alignment horizontal="center"/>
      <protection/>
    </xf>
    <xf numFmtId="0" fontId="36" fillId="0" borderId="0" xfId="66" applyFont="1" applyAlignment="1">
      <alignment horizontal="right"/>
      <protection/>
    </xf>
    <xf numFmtId="0" fontId="91" fillId="0" borderId="0" xfId="66" applyFont="1" applyAlignment="1">
      <alignment horizontal="right"/>
      <protection/>
    </xf>
    <xf numFmtId="0" fontId="91" fillId="0" borderId="17" xfId="66" applyFont="1" applyBorder="1" applyAlignment="1">
      <alignment horizontal="center"/>
      <protection/>
    </xf>
    <xf numFmtId="0" fontId="91" fillId="0" borderId="18" xfId="66" applyFont="1" applyBorder="1" applyAlignment="1">
      <alignment horizontal="center"/>
      <protection/>
    </xf>
    <xf numFmtId="0" fontId="91" fillId="0" borderId="19" xfId="66" applyFont="1" applyBorder="1" applyAlignment="1">
      <alignment horizontal="center"/>
      <protection/>
    </xf>
    <xf numFmtId="0" fontId="91" fillId="0" borderId="17" xfId="66" applyFont="1" applyBorder="1" applyAlignment="1">
      <alignment horizontal="center" wrapText="1"/>
      <protection/>
    </xf>
    <xf numFmtId="0" fontId="91" fillId="0" borderId="18" xfId="66" applyFont="1" applyBorder="1" applyAlignment="1">
      <alignment horizontal="center" wrapText="1"/>
      <protection/>
    </xf>
    <xf numFmtId="0" fontId="91" fillId="0" borderId="19" xfId="66" applyFont="1" applyBorder="1" applyAlignment="1">
      <alignment horizontal="center" wrapText="1"/>
      <protection/>
    </xf>
    <xf numFmtId="2" fontId="121" fillId="0" borderId="0" xfId="55" applyNumberFormat="1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horizontal="right"/>
    </xf>
    <xf numFmtId="0" fontId="57" fillId="0" borderId="0" xfId="0" applyFont="1" applyBorder="1" applyAlignment="1">
      <alignment horizontal="right"/>
    </xf>
    <xf numFmtId="0" fontId="82" fillId="0" borderId="0" xfId="55" applyFont="1" applyAlignment="1">
      <alignment horizontal="center"/>
      <protection/>
    </xf>
    <xf numFmtId="0" fontId="35" fillId="0" borderId="0" xfId="55" applyFont="1" applyAlignment="1">
      <alignment horizontal="left" vertical="top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3" fillId="17" borderId="33" xfId="0" applyNumberFormat="1" applyFont="1" applyFill="1" applyBorder="1" applyAlignment="1">
      <alignment horizontal="left" vertical="top" wrapText="1"/>
    </xf>
    <xf numFmtId="49" fontId="43" fillId="17" borderId="0" xfId="0" applyNumberFormat="1" applyFont="1" applyFill="1" applyBorder="1" applyAlignment="1">
      <alignment horizontal="left" vertical="top" wrapText="1"/>
    </xf>
    <xf numFmtId="0" fontId="13" fillId="25" borderId="48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17" borderId="138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4" fillId="0" borderId="17" xfId="0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25" borderId="48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12" fillId="25" borderId="48" xfId="0" applyFont="1" applyFill="1" applyBorder="1" applyAlignment="1">
      <alignment horizontal="center" vertical="center"/>
    </xf>
    <xf numFmtId="0" fontId="0" fillId="0" borderId="78" xfId="0" applyBorder="1" applyAlignment="1">
      <alignment/>
    </xf>
    <xf numFmtId="0" fontId="19" fillId="0" borderId="78" xfId="0" applyFont="1" applyBorder="1" applyAlignment="1">
      <alignment horizontal="center" vertical="center"/>
    </xf>
    <xf numFmtId="0" fontId="38" fillId="7" borderId="0" xfId="0" applyFont="1" applyFill="1" applyAlignment="1">
      <alignment horizontal="center" wrapText="1"/>
    </xf>
    <xf numFmtId="0" fontId="46" fillId="25" borderId="79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12" fillId="25" borderId="79" xfId="0" applyFont="1" applyFill="1" applyBorder="1" applyAlignment="1">
      <alignment horizontal="center" vertical="center"/>
    </xf>
    <xf numFmtId="0" fontId="0" fillId="0" borderId="74" xfId="0" applyBorder="1" applyAlignment="1">
      <alignment/>
    </xf>
    <xf numFmtId="0" fontId="19" fillId="0" borderId="74" xfId="0" applyFont="1" applyBorder="1" applyAlignment="1">
      <alignment horizontal="center" vertical="center"/>
    </xf>
    <xf numFmtId="0" fontId="13" fillId="25" borderId="79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4" fillId="4" borderId="79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44" fillId="4" borderId="74" xfId="0" applyFont="1" applyFill="1" applyBorder="1" applyAlignment="1">
      <alignment horizontal="center" vertical="center" wrapText="1"/>
    </xf>
    <xf numFmtId="0" fontId="49" fillId="26" borderId="79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7" fillId="0" borderId="79" xfId="0" applyFont="1" applyFill="1" applyBorder="1" applyAlignment="1">
      <alignment horizontal="center" wrapText="1"/>
    </xf>
    <xf numFmtId="0" fontId="48" fillId="0" borderId="74" xfId="0" applyFont="1" applyFill="1" applyBorder="1" applyAlignment="1">
      <alignment horizontal="center" wrapText="1"/>
    </xf>
    <xf numFmtId="0" fontId="47" fillId="0" borderId="48" xfId="0" applyFont="1" applyFill="1" applyBorder="1" applyAlignment="1">
      <alignment horizontal="center" wrapText="1"/>
    </xf>
    <xf numFmtId="0" fontId="48" fillId="0" borderId="78" xfId="0" applyFont="1" applyFill="1" applyBorder="1" applyAlignment="1">
      <alignment horizontal="center" wrapText="1"/>
    </xf>
    <xf numFmtId="0" fontId="44" fillId="4" borderId="48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/>
    </xf>
    <xf numFmtId="0" fontId="44" fillId="4" borderId="78" xfId="0" applyFont="1" applyFill="1" applyBorder="1" applyAlignment="1">
      <alignment horizontal="center" vertical="center"/>
    </xf>
    <xf numFmtId="0" fontId="49" fillId="26" borderId="48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55" fillId="0" borderId="139" xfId="0" applyFont="1" applyFill="1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55" fillId="0" borderId="139" xfId="0" applyFont="1" applyFill="1" applyBorder="1" applyAlignment="1">
      <alignment horizontal="center" vertical="center"/>
    </xf>
    <xf numFmtId="0" fontId="55" fillId="0" borderId="140" xfId="0" applyFont="1" applyFill="1" applyBorder="1" applyAlignment="1">
      <alignment horizontal="center" vertical="center"/>
    </xf>
    <xf numFmtId="0" fontId="55" fillId="0" borderId="141" xfId="0" applyFont="1" applyFill="1" applyBorder="1" applyAlignment="1">
      <alignment horizontal="center" vertical="center"/>
    </xf>
    <xf numFmtId="0" fontId="55" fillId="0" borderId="140" xfId="0" applyFont="1" applyFill="1" applyBorder="1" applyAlignment="1">
      <alignment horizontal="center" vertical="center" wrapText="1"/>
    </xf>
    <xf numFmtId="0" fontId="55" fillId="0" borderId="14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1" fillId="0" borderId="142" xfId="0" applyFont="1" applyFill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49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54" fillId="0" borderId="142" xfId="0" applyFont="1" applyFill="1" applyBorder="1" applyAlignment="1">
      <alignment horizontal="center" vertical="center" wrapText="1"/>
    </xf>
    <xf numFmtId="0" fontId="54" fillId="0" borderId="143" xfId="0" applyFont="1" applyFill="1" applyBorder="1" applyAlignment="1">
      <alignment horizontal="center" vertical="center" wrapText="1"/>
    </xf>
    <xf numFmtId="0" fontId="54" fillId="0" borderId="144" xfId="0" applyFont="1" applyFill="1" applyBorder="1" applyAlignment="1">
      <alignment horizontal="center" vertical="center" wrapText="1"/>
    </xf>
    <xf numFmtId="0" fontId="51" fillId="0" borderId="142" xfId="0" applyFont="1" applyFill="1" applyBorder="1" applyAlignment="1">
      <alignment horizontal="center" wrapText="1"/>
    </xf>
    <xf numFmtId="0" fontId="51" fillId="0" borderId="143" xfId="0" applyFont="1" applyFill="1" applyBorder="1" applyAlignment="1">
      <alignment horizontal="center" wrapText="1"/>
    </xf>
    <xf numFmtId="0" fontId="51" fillId="0" borderId="144" xfId="0" applyFont="1" applyFill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146" xfId="0" applyFont="1" applyBorder="1" applyAlignment="1">
      <alignment horizontal="center" vertical="center" wrapText="1"/>
    </xf>
    <xf numFmtId="0" fontId="49" fillId="0" borderId="14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right" vertical="center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čárky [0]_VPS 2008-2010" xfId="37"/>
    <cellStyle name="Comma [0]" xfId="38"/>
    <cellStyle name="Date" xfId="39"/>
    <cellStyle name="Fixed" xfId="40"/>
    <cellStyle name="Heading1" xfId="41"/>
    <cellStyle name="Heading2" xfId="42"/>
    <cellStyle name="Hyperlink" xfId="43"/>
    <cellStyle name="Chybně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_Tableau1" xfId="54"/>
    <cellStyle name="normální_čerpání MV do KS" xfId="55"/>
    <cellStyle name="normální_duch osdszu08" xfId="56"/>
    <cellStyle name="normální_List1" xfId="57"/>
    <cellStyle name="normální_List1 2" xfId="58"/>
    <cellStyle name="normální_Příloha 1 upravená pro SZÚ 2006" xfId="59"/>
    <cellStyle name="normální_tab 1(PRG-Celk)" xfId="60"/>
    <cellStyle name="_x0000_normální_tab 3 (adres" xfId="61"/>
    <cellStyle name="normální_tab 3 (adres)" xfId="62"/>
    <cellStyle name="normální_tab 3 (adres)_pokus jiné sloupce příl1_pokyn NMV_ novelizace_vzorce" xfId="63"/>
    <cellStyle name="_x0000_normální_tab 5 (odpr" xfId="64"/>
    <cellStyle name="normální_Tab. 16 P ČR" xfId="65"/>
    <cellStyle name="normální_Tab. 18-archivy" xfId="66"/>
    <cellStyle name="normální_Tab.14 výdaje čtvrtl." xfId="67"/>
    <cellStyle name="normální_tab.17 nová" xfId="68"/>
    <cellStyle name="_x0000_normální_tab200" xfId="69"/>
    <cellStyle name="normální_Tabulky č   9  2008 SZÚ" xfId="70"/>
    <cellStyle name="normální_tabulky SZÚ_2007" xfId="71"/>
    <cellStyle name="Percent" xfId="72"/>
    <cellStyle name="Poznámka" xfId="73"/>
    <cellStyle name="Percent" xfId="74"/>
    <cellStyle name="Propojená buňka" xfId="75"/>
    <cellStyle name="Followed Hyperlink" xfId="76"/>
    <cellStyle name="Správně" xfId="77"/>
    <cellStyle name="Styl 1" xfId="78"/>
    <cellStyle name="Styl 2" xfId="79"/>
    <cellStyle name="Styl 3" xfId="80"/>
    <cellStyle name="Text upozornění" xfId="81"/>
    <cellStyle name="Total" xfId="82"/>
    <cellStyle name="Vstup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zoomScale="75" zoomScaleNormal="75" workbookViewId="0" topLeftCell="A1">
      <selection activeCell="D7" sqref="D7:D9"/>
    </sheetView>
  </sheetViews>
  <sheetFormatPr defaultColWidth="9.00390625" defaultRowHeight="12.75"/>
  <cols>
    <col min="1" max="1" width="5.75390625" style="241" customWidth="1"/>
    <col min="2" max="2" width="48.125" style="241" customWidth="1"/>
    <col min="3" max="7" width="18.125" style="241" customWidth="1"/>
    <col min="8" max="8" width="5.75390625" style="241" hidden="1" customWidth="1"/>
    <col min="9" max="9" width="32.625" style="241" hidden="1" customWidth="1"/>
    <col min="10" max="10" width="18.75390625" style="241" customWidth="1"/>
    <col min="11" max="15" width="18.125" style="241" customWidth="1"/>
    <col min="16" max="16" width="15.875" style="241" customWidth="1"/>
    <col min="17" max="17" width="19.625" style="241" customWidth="1"/>
    <col min="18" max="16384" width="8.875" style="241" customWidth="1"/>
  </cols>
  <sheetData>
    <row r="2" spans="2:17" s="239" customFormat="1" ht="20.25" customHeight="1">
      <c r="B2" s="240" t="s">
        <v>283</v>
      </c>
      <c r="Q2" s="419" t="s">
        <v>284</v>
      </c>
    </row>
    <row r="3" spans="3:17" ht="17.25" customHeight="1">
      <c r="C3" s="242"/>
      <c r="D3" s="242"/>
      <c r="E3" s="242"/>
      <c r="Q3" s="243"/>
    </row>
    <row r="4" spans="1:17" ht="27" customHeight="1">
      <c r="A4" s="869" t="s">
        <v>285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</row>
    <row r="5" spans="1:17" ht="21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2:17" ht="16.5" thickBot="1"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245"/>
      <c r="O6" s="245"/>
      <c r="P6" s="245"/>
      <c r="Q6" s="246" t="s">
        <v>286</v>
      </c>
    </row>
    <row r="7" spans="1:17" s="326" customFormat="1" ht="33" customHeight="1">
      <c r="A7" s="871"/>
      <c r="B7" s="874" t="s">
        <v>287</v>
      </c>
      <c r="C7" s="860" t="s">
        <v>201</v>
      </c>
      <c r="D7" s="864" t="s">
        <v>381</v>
      </c>
      <c r="E7" s="860" t="s">
        <v>203</v>
      </c>
      <c r="F7" s="864" t="s">
        <v>288</v>
      </c>
      <c r="G7" s="865"/>
      <c r="H7" s="871"/>
      <c r="I7" s="874" t="s">
        <v>287</v>
      </c>
      <c r="J7" s="860" t="s">
        <v>377</v>
      </c>
      <c r="K7" s="860" t="s">
        <v>289</v>
      </c>
      <c r="L7" s="864" t="s">
        <v>290</v>
      </c>
      <c r="M7" s="865"/>
      <c r="N7" s="864" t="s">
        <v>291</v>
      </c>
      <c r="O7" s="865"/>
      <c r="P7" s="860" t="s">
        <v>292</v>
      </c>
      <c r="Q7" s="860" t="s">
        <v>378</v>
      </c>
    </row>
    <row r="8" spans="1:17" s="326" customFormat="1" ht="33" customHeight="1" thickBot="1">
      <c r="A8" s="872"/>
      <c r="B8" s="875"/>
      <c r="C8" s="861"/>
      <c r="D8" s="877"/>
      <c r="E8" s="861"/>
      <c r="F8" s="878"/>
      <c r="G8" s="879"/>
      <c r="H8" s="872"/>
      <c r="I8" s="875"/>
      <c r="J8" s="861"/>
      <c r="K8" s="861"/>
      <c r="L8" s="866"/>
      <c r="M8" s="867"/>
      <c r="N8" s="866"/>
      <c r="O8" s="867"/>
      <c r="P8" s="861"/>
      <c r="Q8" s="861"/>
    </row>
    <row r="9" spans="1:17" s="326" customFormat="1" ht="33" customHeight="1" thickBot="1">
      <c r="A9" s="873"/>
      <c r="B9" s="876"/>
      <c r="C9" s="862"/>
      <c r="D9" s="866"/>
      <c r="E9" s="861"/>
      <c r="F9" s="328" t="s">
        <v>286</v>
      </c>
      <c r="G9" s="328" t="s">
        <v>293</v>
      </c>
      <c r="H9" s="873"/>
      <c r="I9" s="876"/>
      <c r="J9" s="862"/>
      <c r="K9" s="862"/>
      <c r="L9" s="327" t="s">
        <v>294</v>
      </c>
      <c r="M9" s="327" t="s">
        <v>295</v>
      </c>
      <c r="N9" s="327" t="s">
        <v>296</v>
      </c>
      <c r="O9" s="327" t="s">
        <v>297</v>
      </c>
      <c r="P9" s="862"/>
      <c r="Q9" s="862"/>
    </row>
    <row r="10" spans="1:17" s="326" customFormat="1" ht="33" customHeight="1" thickBot="1">
      <c r="A10" s="329"/>
      <c r="B10" s="330" t="s">
        <v>298</v>
      </c>
      <c r="C10" s="331">
        <v>1</v>
      </c>
      <c r="D10" s="332">
        <v>2</v>
      </c>
      <c r="E10" s="331">
        <v>3</v>
      </c>
      <c r="F10" s="331" t="s">
        <v>299</v>
      </c>
      <c r="G10" s="331" t="s">
        <v>300</v>
      </c>
      <c r="H10" s="329"/>
      <c r="I10" s="330" t="s">
        <v>298</v>
      </c>
      <c r="J10" s="333">
        <v>6</v>
      </c>
      <c r="K10" s="333" t="s">
        <v>301</v>
      </c>
      <c r="L10" s="334" t="s">
        <v>302</v>
      </c>
      <c r="M10" s="335" t="s">
        <v>303</v>
      </c>
      <c r="N10" s="334" t="s">
        <v>304</v>
      </c>
      <c r="O10" s="334" t="s">
        <v>305</v>
      </c>
      <c r="P10" s="334" t="s">
        <v>306</v>
      </c>
      <c r="Q10" s="334" t="s">
        <v>307</v>
      </c>
    </row>
    <row r="11" spans="1:17" s="326" customFormat="1" ht="33" customHeight="1" thickBot="1">
      <c r="A11" s="336"/>
      <c r="B11" s="337" t="s">
        <v>308</v>
      </c>
      <c r="C11" s="338">
        <f>SUM(C13:C25)-SUM(C19:C20)-SUM(C23:C24)</f>
        <v>4699611000</v>
      </c>
      <c r="D11" s="338">
        <f>SUM(D13:D25)-SUM(D19:D20)-SUM(D23:D24)</f>
        <v>4699611000</v>
      </c>
      <c r="E11" s="338">
        <f>SUM(E13:E25)-SUM(E19:E20)-SUM(E23:E24)</f>
        <v>4516600044.650001</v>
      </c>
      <c r="F11" s="339">
        <f>E11-D11</f>
        <v>-183010955.34999943</v>
      </c>
      <c r="G11" s="340">
        <f>E11/D11</f>
        <v>0.9610582758126153</v>
      </c>
      <c r="H11" s="336"/>
      <c r="I11" s="341" t="s">
        <v>308</v>
      </c>
      <c r="J11" s="338">
        <f>SUM(J13:J25)-SUM(J19:J20)-SUM(J23:J24)</f>
        <v>4334339870</v>
      </c>
      <c r="K11" s="340">
        <f>E11/J11</f>
        <v>1.0420502729634815</v>
      </c>
      <c r="L11" s="338">
        <f>SUM(L13:L25)-SUM(L19:L20)-SUM(L23:L24)</f>
        <v>31785</v>
      </c>
      <c r="M11" s="338">
        <f>SUM(M13:M25)-SUM(M19:M20)-SUM(M23:M24)</f>
        <v>31249</v>
      </c>
      <c r="N11" s="342" t="s">
        <v>309</v>
      </c>
      <c r="O11" s="342" t="s">
        <v>309</v>
      </c>
      <c r="P11" s="338">
        <f>SUM(P13:P25)-SUM(P19:P20)-SUM(P23:P24)</f>
        <v>1864</v>
      </c>
      <c r="Q11" s="338">
        <f>SUM(Q13:Q25)-SUM(Q19:Q20)-SUM(Q23:Q24)</f>
        <v>171</v>
      </c>
    </row>
    <row r="12" spans="1:17" s="326" customFormat="1" ht="33" customHeight="1">
      <c r="A12" s="343"/>
      <c r="B12" s="344" t="s">
        <v>310</v>
      </c>
      <c r="C12" s="345"/>
      <c r="D12" s="345"/>
      <c r="E12" s="345"/>
      <c r="F12" s="345"/>
      <c r="G12" s="346"/>
      <c r="H12" s="343"/>
      <c r="I12" s="344" t="s">
        <v>310</v>
      </c>
      <c r="J12" s="347"/>
      <c r="K12" s="348"/>
      <c r="L12" s="349"/>
      <c r="M12" s="349"/>
      <c r="N12" s="348"/>
      <c r="O12" s="348"/>
      <c r="P12" s="350"/>
      <c r="Q12" s="350"/>
    </row>
    <row r="13" spans="1:17" s="326" customFormat="1" ht="33" customHeight="1">
      <c r="A13" s="351">
        <v>1</v>
      </c>
      <c r="B13" s="352" t="s">
        <v>311</v>
      </c>
      <c r="C13" s="349">
        <v>4321724000</v>
      </c>
      <c r="D13" s="349">
        <v>4268824000</v>
      </c>
      <c r="E13" s="349">
        <v>4123845459.19</v>
      </c>
      <c r="F13" s="349">
        <f>E13-D13</f>
        <v>-144978540.80999994</v>
      </c>
      <c r="G13" s="353">
        <f>E13/D13</f>
        <v>0.9660378266215708</v>
      </c>
      <c r="H13" s="351">
        <v>1</v>
      </c>
      <c r="I13" s="352" t="s">
        <v>311</v>
      </c>
      <c r="J13" s="349">
        <v>3947513240</v>
      </c>
      <c r="K13" s="354">
        <f>E13/J13</f>
        <v>1.0446691900620453</v>
      </c>
      <c r="L13" s="349">
        <v>26081</v>
      </c>
      <c r="M13" s="349">
        <v>25648</v>
      </c>
      <c r="N13" s="355">
        <v>13002.12</v>
      </c>
      <c r="O13" s="355">
        <v>12756</v>
      </c>
      <c r="P13" s="356">
        <v>1160</v>
      </c>
      <c r="Q13" s="356">
        <v>171</v>
      </c>
    </row>
    <row r="14" spans="1:17" s="326" customFormat="1" ht="33" customHeight="1">
      <c r="A14" s="357">
        <v>2</v>
      </c>
      <c r="B14" s="352" t="s">
        <v>312</v>
      </c>
      <c r="C14" s="349">
        <v>133783000</v>
      </c>
      <c r="D14" s="349">
        <v>133783000</v>
      </c>
      <c r="E14" s="349">
        <v>118949847.28</v>
      </c>
      <c r="F14" s="349">
        <f>E14-D14</f>
        <v>-14833152.719999999</v>
      </c>
      <c r="G14" s="353">
        <f>E14/D14</f>
        <v>0.8891252795945673</v>
      </c>
      <c r="H14" s="357">
        <v>2</v>
      </c>
      <c r="I14" s="352" t="s">
        <v>313</v>
      </c>
      <c r="J14" s="349">
        <v>120414724</v>
      </c>
      <c r="K14" s="354">
        <f>E14/J14</f>
        <v>0.9878347375525273</v>
      </c>
      <c r="L14" s="349">
        <v>711</v>
      </c>
      <c r="M14" s="349">
        <v>738</v>
      </c>
      <c r="N14" s="355">
        <v>12858.58</v>
      </c>
      <c r="O14" s="355">
        <v>12562</v>
      </c>
      <c r="P14" s="356">
        <v>75</v>
      </c>
      <c r="Q14" s="356">
        <v>0</v>
      </c>
    </row>
    <row r="15" spans="1:17" s="326" customFormat="1" ht="33" customHeight="1">
      <c r="A15" s="351">
        <v>3</v>
      </c>
      <c r="B15" s="352" t="s">
        <v>314</v>
      </c>
      <c r="C15" s="349">
        <v>12344000</v>
      </c>
      <c r="D15" s="349">
        <v>16744000</v>
      </c>
      <c r="E15" s="349">
        <v>16647092</v>
      </c>
      <c r="F15" s="349">
        <f>E15-D15</f>
        <v>-96908</v>
      </c>
      <c r="G15" s="353">
        <f>E15/D15</f>
        <v>0.9942123745819398</v>
      </c>
      <c r="H15" s="351">
        <v>3</v>
      </c>
      <c r="I15" s="352" t="s">
        <v>315</v>
      </c>
      <c r="J15" s="349">
        <v>12502304</v>
      </c>
      <c r="K15" s="354">
        <f>E15/J15</f>
        <v>1.3315219338771478</v>
      </c>
      <c r="L15" s="349">
        <v>171</v>
      </c>
      <c r="M15" s="349">
        <v>142</v>
      </c>
      <c r="N15" s="355">
        <v>8212.21</v>
      </c>
      <c r="O15" s="355">
        <v>8059</v>
      </c>
      <c r="P15" s="356">
        <v>48</v>
      </c>
      <c r="Q15" s="356">
        <v>0</v>
      </c>
    </row>
    <row r="16" spans="1:17" s="326" customFormat="1" ht="33" customHeight="1">
      <c r="A16" s="351">
        <v>4</v>
      </c>
      <c r="B16" s="352" t="s">
        <v>316</v>
      </c>
      <c r="C16" s="349">
        <v>29079000</v>
      </c>
      <c r="D16" s="349">
        <v>32579000</v>
      </c>
      <c r="E16" s="349">
        <v>30525950</v>
      </c>
      <c r="F16" s="349">
        <f>E16-D16</f>
        <v>-2053050</v>
      </c>
      <c r="G16" s="353">
        <f>E16/D16</f>
        <v>0.9369824119831793</v>
      </c>
      <c r="H16" s="351">
        <v>3</v>
      </c>
      <c r="I16" s="352" t="s">
        <v>315</v>
      </c>
      <c r="J16" s="349">
        <v>26253494</v>
      </c>
      <c r="K16" s="354">
        <f>E16/J16</f>
        <v>1.1627385672931763</v>
      </c>
      <c r="L16" s="349">
        <v>332</v>
      </c>
      <c r="M16" s="349">
        <v>298</v>
      </c>
      <c r="N16" s="355">
        <v>7081.22</v>
      </c>
      <c r="O16" s="355">
        <v>7252</v>
      </c>
      <c r="P16" s="356">
        <v>69</v>
      </c>
      <c r="Q16" s="356">
        <v>0</v>
      </c>
    </row>
    <row r="17" spans="1:17" s="326" customFormat="1" ht="33" customHeight="1">
      <c r="A17" s="357">
        <v>5</v>
      </c>
      <c r="B17" s="352" t="s">
        <v>317</v>
      </c>
      <c r="C17" s="349">
        <v>137591000</v>
      </c>
      <c r="D17" s="349">
        <v>137591000</v>
      </c>
      <c r="E17" s="349">
        <v>118867429.18</v>
      </c>
      <c r="F17" s="349">
        <f>E17-D17</f>
        <v>-18723570.819999993</v>
      </c>
      <c r="G17" s="353">
        <f>E17/D17</f>
        <v>0.8639186369748022</v>
      </c>
      <c r="H17" s="357">
        <v>4</v>
      </c>
      <c r="I17" s="352" t="s">
        <v>317</v>
      </c>
      <c r="J17" s="349">
        <v>122771694</v>
      </c>
      <c r="K17" s="354">
        <f>E17/J17</f>
        <v>0.9681989822507459</v>
      </c>
      <c r="L17" s="349">
        <v>1812</v>
      </c>
      <c r="M17" s="349">
        <v>1776</v>
      </c>
      <c r="N17" s="355">
        <v>5342.12</v>
      </c>
      <c r="O17" s="355">
        <v>5321</v>
      </c>
      <c r="P17" s="358">
        <v>204</v>
      </c>
      <c r="Q17" s="358">
        <f>Q19+Q20</f>
        <v>0</v>
      </c>
    </row>
    <row r="18" spans="1:17" s="326" customFormat="1" ht="33" customHeight="1">
      <c r="A18" s="343"/>
      <c r="B18" s="344" t="s">
        <v>318</v>
      </c>
      <c r="C18" s="345"/>
      <c r="D18" s="345"/>
      <c r="E18" s="345"/>
      <c r="F18" s="345"/>
      <c r="G18" s="346"/>
      <c r="H18" s="343"/>
      <c r="I18" s="344" t="s">
        <v>318</v>
      </c>
      <c r="J18" s="349"/>
      <c r="K18" s="359"/>
      <c r="L18" s="349"/>
      <c r="M18" s="349"/>
      <c r="N18" s="348"/>
      <c r="O18" s="348"/>
      <c r="P18" s="350"/>
      <c r="Q18" s="350"/>
    </row>
    <row r="19" spans="1:17" s="325" customFormat="1" ht="33" customHeight="1">
      <c r="A19" s="360" t="s">
        <v>319</v>
      </c>
      <c r="B19" s="361" t="s">
        <v>320</v>
      </c>
      <c r="C19" s="362" t="s">
        <v>321</v>
      </c>
      <c r="D19" s="362" t="s">
        <v>321</v>
      </c>
      <c r="E19" s="362" t="s">
        <v>321</v>
      </c>
      <c r="F19" s="362" t="s">
        <v>321</v>
      </c>
      <c r="G19" s="362" t="s">
        <v>321</v>
      </c>
      <c r="H19" s="360" t="s">
        <v>322</v>
      </c>
      <c r="I19" s="361" t="s">
        <v>320</v>
      </c>
      <c r="J19" s="363" t="s">
        <v>321</v>
      </c>
      <c r="K19" s="354" t="s">
        <v>321</v>
      </c>
      <c r="L19" s="364">
        <v>889</v>
      </c>
      <c r="M19" s="364">
        <v>896</v>
      </c>
      <c r="N19" s="365">
        <v>7813.02</v>
      </c>
      <c r="O19" s="365">
        <v>7655</v>
      </c>
      <c r="P19" s="366">
        <v>143</v>
      </c>
      <c r="Q19" s="366">
        <v>0</v>
      </c>
    </row>
    <row r="20" spans="1:17" s="325" customFormat="1" ht="33" customHeight="1">
      <c r="A20" s="360" t="s">
        <v>323</v>
      </c>
      <c r="B20" s="361" t="s">
        <v>324</v>
      </c>
      <c r="C20" s="362" t="s">
        <v>321</v>
      </c>
      <c r="D20" s="362" t="s">
        <v>321</v>
      </c>
      <c r="E20" s="362" t="s">
        <v>321</v>
      </c>
      <c r="F20" s="362" t="s">
        <v>321</v>
      </c>
      <c r="G20" s="362" t="s">
        <v>321</v>
      </c>
      <c r="H20" s="360" t="s">
        <v>325</v>
      </c>
      <c r="I20" s="361" t="s">
        <v>324</v>
      </c>
      <c r="J20" s="367" t="s">
        <v>321</v>
      </c>
      <c r="K20" s="354" t="s">
        <v>321</v>
      </c>
      <c r="L20" s="364">
        <v>923</v>
      </c>
      <c r="M20" s="368">
        <v>880</v>
      </c>
      <c r="N20" s="365">
        <v>2967.6</v>
      </c>
      <c r="O20" s="365">
        <v>2946</v>
      </c>
      <c r="P20" s="366">
        <v>61</v>
      </c>
      <c r="Q20" s="366">
        <v>0</v>
      </c>
    </row>
    <row r="21" spans="1:17" s="326" customFormat="1" ht="33" customHeight="1">
      <c r="A21" s="357">
        <v>6</v>
      </c>
      <c r="B21" s="352" t="s">
        <v>326</v>
      </c>
      <c r="C21" s="369">
        <v>43879000</v>
      </c>
      <c r="D21" s="369">
        <v>43879000</v>
      </c>
      <c r="E21" s="349">
        <v>42060716</v>
      </c>
      <c r="F21" s="369">
        <f>E21-D21</f>
        <v>-1818284</v>
      </c>
      <c r="G21" s="359">
        <f>E21/D21</f>
        <v>0.9585614075070079</v>
      </c>
      <c r="H21" s="357">
        <v>5</v>
      </c>
      <c r="I21" s="352" t="s">
        <v>326</v>
      </c>
      <c r="J21" s="358">
        <v>39913624</v>
      </c>
      <c r="K21" s="354">
        <f>E21/J21</f>
        <v>1.0537934616009812</v>
      </c>
      <c r="L21" s="358">
        <v>1851</v>
      </c>
      <c r="M21" s="358">
        <v>1839</v>
      </c>
      <c r="N21" s="355">
        <v>1827.63</v>
      </c>
      <c r="O21" s="355">
        <v>1789</v>
      </c>
      <c r="P21" s="358">
        <v>184</v>
      </c>
      <c r="Q21" s="358">
        <f>Q23+Q24</f>
        <v>0</v>
      </c>
    </row>
    <row r="22" spans="1:17" s="326" customFormat="1" ht="33" customHeight="1">
      <c r="A22" s="343"/>
      <c r="B22" s="344" t="s">
        <v>318</v>
      </c>
      <c r="C22" s="345"/>
      <c r="D22" s="345"/>
      <c r="E22" s="349"/>
      <c r="F22" s="345"/>
      <c r="G22" s="346"/>
      <c r="H22" s="343"/>
      <c r="I22" s="344" t="s">
        <v>318</v>
      </c>
      <c r="J22" s="349"/>
      <c r="K22" s="370"/>
      <c r="L22" s="349"/>
      <c r="M22" s="349"/>
      <c r="N22" s="348"/>
      <c r="O22" s="348"/>
      <c r="P22" s="350"/>
      <c r="Q22" s="350"/>
    </row>
    <row r="23" spans="1:17" s="325" customFormat="1" ht="33" customHeight="1">
      <c r="A23" s="360" t="s">
        <v>327</v>
      </c>
      <c r="B23" s="361" t="s">
        <v>320</v>
      </c>
      <c r="C23" s="362" t="s">
        <v>321</v>
      </c>
      <c r="D23" s="362" t="s">
        <v>321</v>
      </c>
      <c r="E23" s="362" t="s">
        <v>321</v>
      </c>
      <c r="F23" s="362" t="s">
        <v>321</v>
      </c>
      <c r="G23" s="362" t="s">
        <v>321</v>
      </c>
      <c r="H23" s="360" t="s">
        <v>319</v>
      </c>
      <c r="I23" s="361" t="s">
        <v>320</v>
      </c>
      <c r="J23" s="367" t="s">
        <v>321</v>
      </c>
      <c r="K23" s="354" t="s">
        <v>321</v>
      </c>
      <c r="L23" s="364">
        <v>26</v>
      </c>
      <c r="M23" s="364">
        <v>28</v>
      </c>
      <c r="N23" s="365">
        <v>6423</v>
      </c>
      <c r="O23" s="365">
        <v>6767</v>
      </c>
      <c r="P23" s="366">
        <v>2</v>
      </c>
      <c r="Q23" s="366">
        <v>0</v>
      </c>
    </row>
    <row r="24" spans="1:17" s="325" customFormat="1" ht="33" customHeight="1">
      <c r="A24" s="360" t="s">
        <v>328</v>
      </c>
      <c r="B24" s="361" t="s">
        <v>324</v>
      </c>
      <c r="C24" s="362" t="s">
        <v>321</v>
      </c>
      <c r="D24" s="362" t="s">
        <v>321</v>
      </c>
      <c r="E24" s="362" t="s">
        <v>321</v>
      </c>
      <c r="F24" s="362" t="s">
        <v>321</v>
      </c>
      <c r="G24" s="362" t="s">
        <v>321</v>
      </c>
      <c r="H24" s="360" t="s">
        <v>323</v>
      </c>
      <c r="I24" s="361" t="s">
        <v>324</v>
      </c>
      <c r="J24" s="371" t="s">
        <v>321</v>
      </c>
      <c r="K24" s="354" t="s">
        <v>321</v>
      </c>
      <c r="L24" s="364">
        <v>1825</v>
      </c>
      <c r="M24" s="364">
        <v>1811</v>
      </c>
      <c r="N24" s="365">
        <v>1762</v>
      </c>
      <c r="O24" s="365">
        <v>1712</v>
      </c>
      <c r="P24" s="366">
        <v>182</v>
      </c>
      <c r="Q24" s="366">
        <v>0</v>
      </c>
    </row>
    <row r="25" spans="1:17" s="326" customFormat="1" ht="33" customHeight="1" thickBot="1">
      <c r="A25" s="372">
        <v>7</v>
      </c>
      <c r="B25" s="373" t="s">
        <v>329</v>
      </c>
      <c r="C25" s="374">
        <v>21211000</v>
      </c>
      <c r="D25" s="374">
        <v>66211000</v>
      </c>
      <c r="E25" s="374">
        <v>65703551</v>
      </c>
      <c r="F25" s="374">
        <f>E25-D25</f>
        <v>-507449</v>
      </c>
      <c r="G25" s="375">
        <f>E25/D25</f>
        <v>0.9923358807448913</v>
      </c>
      <c r="H25" s="372">
        <v>6</v>
      </c>
      <c r="I25" s="373" t="s">
        <v>329</v>
      </c>
      <c r="J25" s="376">
        <v>64970790</v>
      </c>
      <c r="K25" s="377">
        <f>E25/J25</f>
        <v>1.0112783144548496</v>
      </c>
      <c r="L25" s="376">
        <v>827</v>
      </c>
      <c r="M25" s="376">
        <v>808</v>
      </c>
      <c r="N25" s="378">
        <v>6340.37</v>
      </c>
      <c r="O25" s="378">
        <v>6152</v>
      </c>
      <c r="P25" s="379">
        <v>124</v>
      </c>
      <c r="Q25" s="379">
        <v>0</v>
      </c>
    </row>
    <row r="26" ht="18" customHeight="1"/>
    <row r="27" ht="18" customHeight="1"/>
    <row r="28" spans="2:12" ht="18" customHeight="1">
      <c r="B28" s="239"/>
      <c r="C28" s="239"/>
      <c r="D28" s="239"/>
      <c r="E28" s="239"/>
      <c r="F28" s="247"/>
      <c r="G28" s="239"/>
      <c r="I28" s="239"/>
      <c r="J28" s="239"/>
      <c r="K28" s="239"/>
      <c r="L28" s="239"/>
    </row>
    <row r="29" spans="2:17" s="420" customFormat="1" ht="21.75" customHeight="1">
      <c r="B29" s="421" t="s">
        <v>330</v>
      </c>
      <c r="D29" s="411"/>
      <c r="E29" s="411"/>
      <c r="F29" s="422" t="s">
        <v>147</v>
      </c>
      <c r="G29" s="423"/>
      <c r="H29" s="423"/>
      <c r="I29" s="423"/>
      <c r="J29" s="423"/>
      <c r="O29" s="423"/>
      <c r="P29" s="868" t="s">
        <v>148</v>
      </c>
      <c r="Q29" s="868"/>
    </row>
    <row r="30" spans="2:12" ht="18" customHeight="1">
      <c r="B30" s="863"/>
      <c r="C30" s="863"/>
      <c r="D30" s="863"/>
      <c r="E30" s="248"/>
      <c r="F30" s="239"/>
      <c r="G30" s="239"/>
      <c r="I30" s="863"/>
      <c r="J30" s="863"/>
      <c r="K30" s="863"/>
      <c r="L30" s="863"/>
    </row>
  </sheetData>
  <mergeCells count="19">
    <mergeCell ref="A4:Q4"/>
    <mergeCell ref="B6:M6"/>
    <mergeCell ref="A7:A9"/>
    <mergeCell ref="B7:B9"/>
    <mergeCell ref="C7:C9"/>
    <mergeCell ref="D7:D9"/>
    <mergeCell ref="E7:E9"/>
    <mergeCell ref="F7:G8"/>
    <mergeCell ref="H7:H9"/>
    <mergeCell ref="I7:I9"/>
    <mergeCell ref="P7:P9"/>
    <mergeCell ref="Q7:Q9"/>
    <mergeCell ref="B30:D30"/>
    <mergeCell ref="I30:L30"/>
    <mergeCell ref="J7:J9"/>
    <mergeCell ref="K7:K9"/>
    <mergeCell ref="L7:M8"/>
    <mergeCell ref="N7:O8"/>
    <mergeCell ref="P29:Q29"/>
  </mergeCells>
  <conditionalFormatting sqref="K22 G11">
    <cfRule type="expression" priority="1" dxfId="0" stopIfTrue="1">
      <formula>$G11&gt;0</formula>
    </cfRule>
  </conditionalFormatting>
  <conditionalFormatting sqref="K11 J24 K13:K21 K23:K25">
    <cfRule type="expression" priority="2" dxfId="0" stopIfTrue="1">
      <formula>$J11&gt;0</formula>
    </cfRule>
  </conditionalFormatting>
  <conditionalFormatting sqref="J25 J22:J23 J18:J20 G18 G22 D18:E18 D22">
    <cfRule type="cellIs" priority="3" dxfId="1" operator="equal" stopIfTrue="1">
      <formula>0</formula>
    </cfRule>
  </conditionalFormatting>
  <conditionalFormatting sqref="C11:E11 P21:Q21 J21 L21:M21 P17:Q17 L11:M11 P11:Q11 I11:J11 C21:D21 F21:G21">
    <cfRule type="expression" priority="4" dxfId="0" stopIfTrue="1">
      <formula>C11&gt;0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45" r:id="rId1"/>
  <headerFooter alignWithMargins="0">
    <oddFooter>&amp;C&amp;18&amp;P+56&amp;10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3">
      <selection activeCell="A33" sqref="A33"/>
    </sheetView>
  </sheetViews>
  <sheetFormatPr defaultColWidth="9.00390625" defaultRowHeight="12.75"/>
  <cols>
    <col min="1" max="1" width="48.75390625" style="112" customWidth="1"/>
    <col min="2" max="2" width="10.75390625" style="112" customWidth="1"/>
    <col min="3" max="7" width="20.75390625" style="112" customWidth="1"/>
    <col min="8" max="10" width="15.75390625" style="112" customWidth="1"/>
    <col min="11" max="12" width="11.75390625" style="112" customWidth="1"/>
    <col min="13" max="13" width="12.875" style="112" customWidth="1"/>
    <col min="14" max="14" width="10.75390625" style="112" customWidth="1"/>
    <col min="15" max="16384" width="9.125" style="112" customWidth="1"/>
  </cols>
  <sheetData>
    <row r="1" spans="1:13" ht="23.25" customHeight="1">
      <c r="A1" s="900" t="s">
        <v>186</v>
      </c>
      <c r="B1" s="900"/>
      <c r="C1" s="900"/>
      <c r="D1" s="900"/>
      <c r="E1" s="900"/>
      <c r="F1" s="900"/>
      <c r="G1" s="900"/>
      <c r="H1" s="183"/>
      <c r="I1" s="183"/>
      <c r="J1" s="183"/>
      <c r="K1" s="183"/>
      <c r="L1" s="183"/>
      <c r="M1" s="183"/>
    </row>
    <row r="2" ht="16.5" customHeight="1" thickBot="1">
      <c r="G2" s="186" t="s">
        <v>91</v>
      </c>
    </row>
    <row r="3" spans="1:13" s="43" customFormat="1" ht="17.25" customHeight="1" thickBot="1">
      <c r="A3" s="857" t="s">
        <v>171</v>
      </c>
      <c r="B3" s="858"/>
      <c r="C3" s="858"/>
      <c r="D3" s="858"/>
      <c r="E3" s="858"/>
      <c r="F3" s="858"/>
      <c r="G3" s="854"/>
      <c r="H3" s="178"/>
      <c r="I3" s="178"/>
      <c r="J3" s="178"/>
      <c r="K3" s="178"/>
      <c r="L3" s="178"/>
      <c r="M3" s="178"/>
    </row>
    <row r="4" spans="1:7" s="188" customFormat="1" ht="39" thickBot="1">
      <c r="A4" s="464" t="s">
        <v>187</v>
      </c>
      <c r="B4" s="465" t="s">
        <v>188</v>
      </c>
      <c r="C4" s="465" t="s">
        <v>151</v>
      </c>
      <c r="D4" s="465" t="s">
        <v>152</v>
      </c>
      <c r="E4" s="465" t="s">
        <v>153</v>
      </c>
      <c r="F4" s="465" t="s">
        <v>173</v>
      </c>
      <c r="G4" s="466" t="s">
        <v>155</v>
      </c>
    </row>
    <row r="5" spans="1:7" s="188" customFormat="1" ht="19.5" customHeight="1">
      <c r="A5" s="910" t="s">
        <v>189</v>
      </c>
      <c r="B5" s="467">
        <v>114070</v>
      </c>
      <c r="C5" s="468">
        <v>21738</v>
      </c>
      <c r="D5" s="468">
        <v>0</v>
      </c>
      <c r="E5" s="468">
        <v>0</v>
      </c>
      <c r="F5" s="468">
        <v>0</v>
      </c>
      <c r="G5" s="469">
        <f>SUM(C5:F5)</f>
        <v>21738</v>
      </c>
    </row>
    <row r="6" spans="1:7" s="188" customFormat="1" ht="19.5" customHeight="1">
      <c r="A6" s="902"/>
      <c r="B6" s="454">
        <v>114110</v>
      </c>
      <c r="C6" s="455">
        <v>547280</v>
      </c>
      <c r="D6" s="455">
        <v>23954</v>
      </c>
      <c r="E6" s="455">
        <v>63786</v>
      </c>
      <c r="F6" s="455">
        <v>0</v>
      </c>
      <c r="G6" s="460">
        <f>SUM(C6:F6)</f>
        <v>635020</v>
      </c>
    </row>
    <row r="7" spans="1:7" s="188" customFormat="1" ht="19.5" customHeight="1">
      <c r="A7" s="902"/>
      <c r="B7" s="454">
        <v>214110</v>
      </c>
      <c r="C7" s="455">
        <f>54278+5189</f>
        <v>59467</v>
      </c>
      <c r="D7" s="455">
        <v>0</v>
      </c>
      <c r="E7" s="455">
        <v>0</v>
      </c>
      <c r="F7" s="455">
        <v>0</v>
      </c>
      <c r="G7" s="460">
        <f>SUM(C7:F7)</f>
        <v>59467</v>
      </c>
    </row>
    <row r="8" spans="1:7" s="188" customFormat="1" ht="19.5" customHeight="1">
      <c r="A8" s="903"/>
      <c r="B8" s="456" t="s">
        <v>155</v>
      </c>
      <c r="C8" s="457">
        <f>SUM(C5:C7)</f>
        <v>628485</v>
      </c>
      <c r="D8" s="457">
        <f>SUM(D5:D7)</f>
        <v>23954</v>
      </c>
      <c r="E8" s="457">
        <f>SUM(E5:E7)</f>
        <v>63786</v>
      </c>
      <c r="F8" s="457">
        <f>SUM(F5:F7)</f>
        <v>0</v>
      </c>
      <c r="G8" s="458">
        <f>SUM(G5:G7)</f>
        <v>716225</v>
      </c>
    </row>
    <row r="9" spans="1:7" s="188" customFormat="1" ht="19.5" customHeight="1">
      <c r="A9" s="901" t="s">
        <v>190</v>
      </c>
      <c r="B9" s="454">
        <v>114070</v>
      </c>
      <c r="C9" s="455">
        <v>53336</v>
      </c>
      <c r="D9" s="455">
        <v>0</v>
      </c>
      <c r="E9" s="455">
        <v>0</v>
      </c>
      <c r="F9" s="455">
        <v>0</v>
      </c>
      <c r="G9" s="460">
        <f>SUM(C9:F9)</f>
        <v>53336</v>
      </c>
    </row>
    <row r="10" spans="1:7" s="188" customFormat="1" ht="19.5" customHeight="1">
      <c r="A10" s="902"/>
      <c r="B10" s="454">
        <v>114210</v>
      </c>
      <c r="C10" s="455">
        <v>59668</v>
      </c>
      <c r="D10" s="455">
        <v>1044</v>
      </c>
      <c r="E10" s="455">
        <v>1676</v>
      </c>
      <c r="F10" s="455">
        <v>0</v>
      </c>
      <c r="G10" s="460">
        <f>SUM(C10:F10)</f>
        <v>62388</v>
      </c>
    </row>
    <row r="11" spans="1:7" s="188" customFormat="1" ht="19.5" customHeight="1">
      <c r="A11" s="902"/>
      <c r="B11" s="454">
        <v>114240</v>
      </c>
      <c r="C11" s="455">
        <v>160713</v>
      </c>
      <c r="D11" s="455">
        <v>0</v>
      </c>
      <c r="E11" s="455">
        <v>0</v>
      </c>
      <c r="F11" s="455">
        <v>0</v>
      </c>
      <c r="G11" s="460">
        <f>SUM(C11:F11)</f>
        <v>160713</v>
      </c>
    </row>
    <row r="12" spans="1:7" s="188" customFormat="1" ht="19.5" customHeight="1">
      <c r="A12" s="903"/>
      <c r="B12" s="456" t="s">
        <v>155</v>
      </c>
      <c r="C12" s="457">
        <f>SUM(C9:C11)</f>
        <v>273717</v>
      </c>
      <c r="D12" s="457">
        <f>SUM(D9:D11)</f>
        <v>1044</v>
      </c>
      <c r="E12" s="457">
        <f>SUM(E9:E11)</f>
        <v>1676</v>
      </c>
      <c r="F12" s="457">
        <f>SUM(F9:F11)</f>
        <v>0</v>
      </c>
      <c r="G12" s="458">
        <f>SUM(G9:G11)</f>
        <v>276437</v>
      </c>
    </row>
    <row r="13" spans="1:7" s="188" customFormat="1" ht="19.5" customHeight="1">
      <c r="A13" s="902" t="s">
        <v>455</v>
      </c>
      <c r="B13" s="1028" t="s">
        <v>454</v>
      </c>
      <c r="C13" s="455">
        <v>17404</v>
      </c>
      <c r="D13" s="455">
        <v>0</v>
      </c>
      <c r="E13" s="455">
        <v>0</v>
      </c>
      <c r="F13" s="455">
        <v>0</v>
      </c>
      <c r="G13" s="460">
        <f aca="true" t="shared" si="0" ref="G13:G20">SUM(C13:F13)</f>
        <v>17404</v>
      </c>
    </row>
    <row r="14" spans="1:7" s="188" customFormat="1" ht="19.5" customHeight="1">
      <c r="A14" s="902"/>
      <c r="B14" s="454">
        <v>114050</v>
      </c>
      <c r="C14" s="455">
        <v>13476</v>
      </c>
      <c r="D14" s="455">
        <v>0</v>
      </c>
      <c r="E14" s="455">
        <v>0</v>
      </c>
      <c r="F14" s="455">
        <v>0</v>
      </c>
      <c r="G14" s="460">
        <f t="shared" si="0"/>
        <v>13476</v>
      </c>
    </row>
    <row r="15" spans="1:7" s="188" customFormat="1" ht="19.5" customHeight="1">
      <c r="A15" s="902"/>
      <c r="B15" s="454">
        <v>114060</v>
      </c>
      <c r="C15" s="455">
        <v>0</v>
      </c>
      <c r="D15" s="455">
        <v>0</v>
      </c>
      <c r="E15" s="455">
        <v>0</v>
      </c>
      <c r="F15" s="455">
        <v>0</v>
      </c>
      <c r="G15" s="460">
        <f t="shared" si="0"/>
        <v>0</v>
      </c>
    </row>
    <row r="16" spans="1:7" s="188" customFormat="1" ht="19.5" customHeight="1">
      <c r="A16" s="902"/>
      <c r="B16" s="454">
        <v>114070</v>
      </c>
      <c r="C16" s="455">
        <v>50000</v>
      </c>
      <c r="D16" s="455">
        <v>0</v>
      </c>
      <c r="E16" s="455">
        <v>0</v>
      </c>
      <c r="F16" s="455">
        <v>0</v>
      </c>
      <c r="G16" s="460">
        <f t="shared" si="0"/>
        <v>50000</v>
      </c>
    </row>
    <row r="17" spans="1:7" s="188" customFormat="1" ht="19.5" customHeight="1">
      <c r="A17" s="902"/>
      <c r="B17" s="454">
        <v>114110</v>
      </c>
      <c r="C17" s="455">
        <v>5189</v>
      </c>
      <c r="D17" s="455">
        <v>0</v>
      </c>
      <c r="E17" s="455">
        <v>0</v>
      </c>
      <c r="F17" s="455">
        <v>0</v>
      </c>
      <c r="G17" s="460">
        <f t="shared" si="0"/>
        <v>5189</v>
      </c>
    </row>
    <row r="18" spans="1:7" s="188" customFormat="1" ht="19.5" customHeight="1">
      <c r="A18" s="902"/>
      <c r="B18" s="454">
        <v>114410</v>
      </c>
      <c r="C18" s="455">
        <v>1800</v>
      </c>
      <c r="D18" s="455">
        <v>0</v>
      </c>
      <c r="E18" s="455">
        <v>0</v>
      </c>
      <c r="F18" s="455">
        <v>0</v>
      </c>
      <c r="G18" s="460">
        <f t="shared" si="0"/>
        <v>1800</v>
      </c>
    </row>
    <row r="19" spans="1:7" s="188" customFormat="1" ht="19.5" customHeight="1">
      <c r="A19" s="902"/>
      <c r="B19" s="454">
        <v>214110</v>
      </c>
      <c r="C19" s="455">
        <v>93419</v>
      </c>
      <c r="D19" s="455">
        <v>914</v>
      </c>
      <c r="E19" s="455">
        <v>0</v>
      </c>
      <c r="F19" s="455">
        <v>0</v>
      </c>
      <c r="G19" s="460">
        <f t="shared" si="0"/>
        <v>94333</v>
      </c>
    </row>
    <row r="20" spans="1:7" s="188" customFormat="1" ht="19.5" customHeight="1">
      <c r="A20" s="902"/>
      <c r="B20" s="454">
        <v>214910</v>
      </c>
      <c r="C20" s="455">
        <v>57950</v>
      </c>
      <c r="D20" s="455">
        <v>0</v>
      </c>
      <c r="E20" s="455">
        <v>0</v>
      </c>
      <c r="F20" s="455">
        <v>0</v>
      </c>
      <c r="G20" s="460">
        <f t="shared" si="0"/>
        <v>57950</v>
      </c>
    </row>
    <row r="21" spans="1:7" s="188" customFormat="1" ht="19.5" customHeight="1">
      <c r="A21" s="903"/>
      <c r="B21" s="456" t="s">
        <v>155</v>
      </c>
      <c r="C21" s="457">
        <f>SUM(C13:C20)</f>
        <v>239238</v>
      </c>
      <c r="D21" s="457">
        <f>SUM(D13:D20)</f>
        <v>914</v>
      </c>
      <c r="E21" s="457">
        <f>SUM(E13:E20)</f>
        <v>0</v>
      </c>
      <c r="F21" s="457">
        <f>SUM(F13:F20)</f>
        <v>0</v>
      </c>
      <c r="G21" s="458">
        <f>SUM(G13:G20)</f>
        <v>240152</v>
      </c>
    </row>
    <row r="22" spans="1:7" s="188" customFormat="1" ht="19.5" customHeight="1">
      <c r="A22" s="901" t="s">
        <v>191</v>
      </c>
      <c r="B22" s="454">
        <v>114020</v>
      </c>
      <c r="C22" s="455">
        <v>25634</v>
      </c>
      <c r="D22" s="455">
        <v>0</v>
      </c>
      <c r="E22" s="455">
        <v>0</v>
      </c>
      <c r="F22" s="455">
        <v>0</v>
      </c>
      <c r="G22" s="460">
        <f>SUM(C22:F22)</f>
        <v>25634</v>
      </c>
    </row>
    <row r="23" spans="1:7" s="188" customFormat="1" ht="19.5" customHeight="1">
      <c r="A23" s="906"/>
      <c r="B23" s="454">
        <v>114030</v>
      </c>
      <c r="C23" s="455">
        <v>23869</v>
      </c>
      <c r="D23" s="455">
        <v>0</v>
      </c>
      <c r="E23" s="455">
        <v>0</v>
      </c>
      <c r="F23" s="455">
        <v>0</v>
      </c>
      <c r="G23" s="460">
        <f>SUM(C23:F23)</f>
        <v>23869</v>
      </c>
    </row>
    <row r="24" spans="1:7" s="188" customFormat="1" ht="19.5" customHeight="1">
      <c r="A24" s="906"/>
      <c r="B24" s="454">
        <v>114040</v>
      </c>
      <c r="C24" s="455">
        <v>3306</v>
      </c>
      <c r="D24" s="455">
        <v>0</v>
      </c>
      <c r="E24" s="455">
        <v>0</v>
      </c>
      <c r="F24" s="455">
        <v>0</v>
      </c>
      <c r="G24" s="460">
        <f>SUM(C24:F24)</f>
        <v>3306</v>
      </c>
    </row>
    <row r="25" spans="1:7" s="188" customFormat="1" ht="19.5" customHeight="1">
      <c r="A25" s="906"/>
      <c r="B25" s="454">
        <v>214020</v>
      </c>
      <c r="C25" s="455">
        <v>0</v>
      </c>
      <c r="D25" s="455">
        <v>0</v>
      </c>
      <c r="E25" s="455">
        <v>0</v>
      </c>
      <c r="F25" s="455">
        <v>0</v>
      </c>
      <c r="G25" s="460">
        <f>SUM(C25:F25)</f>
        <v>0</v>
      </c>
    </row>
    <row r="26" spans="1:7" s="188" customFormat="1" ht="19.5" customHeight="1">
      <c r="A26" s="906"/>
      <c r="B26" s="454">
        <v>214030</v>
      </c>
      <c r="C26" s="455">
        <v>13591</v>
      </c>
      <c r="D26" s="455">
        <v>0</v>
      </c>
      <c r="E26" s="455">
        <v>0</v>
      </c>
      <c r="F26" s="455">
        <v>0</v>
      </c>
      <c r="G26" s="460">
        <f>SUM(C26:F26)</f>
        <v>13591</v>
      </c>
    </row>
    <row r="27" spans="1:7" s="188" customFormat="1" ht="19.5" customHeight="1">
      <c r="A27" s="907"/>
      <c r="B27" s="456" t="s">
        <v>155</v>
      </c>
      <c r="C27" s="457">
        <f>SUM(C22:C26)</f>
        <v>66400</v>
      </c>
      <c r="D27" s="457">
        <f>SUM(D22:D26)</f>
        <v>0</v>
      </c>
      <c r="E27" s="457">
        <f>SUM(E22:E26)</f>
        <v>0</v>
      </c>
      <c r="F27" s="457">
        <f>SUM(F22:F26)</f>
        <v>0</v>
      </c>
      <c r="G27" s="458">
        <f>SUM(G22:G26)</f>
        <v>66400</v>
      </c>
    </row>
    <row r="28" spans="1:7" s="188" customFormat="1" ht="19.5" customHeight="1">
      <c r="A28" s="901" t="s">
        <v>192</v>
      </c>
      <c r="B28" s="454">
        <v>114070</v>
      </c>
      <c r="C28" s="455">
        <v>0</v>
      </c>
      <c r="D28" s="455">
        <v>187378</v>
      </c>
      <c r="E28" s="455">
        <v>553909</v>
      </c>
      <c r="F28" s="455">
        <v>0</v>
      </c>
      <c r="G28" s="460">
        <f>SUM(C28:F28)</f>
        <v>741287</v>
      </c>
    </row>
    <row r="29" spans="1:7" s="188" customFormat="1" ht="19.5" customHeight="1">
      <c r="A29" s="902"/>
      <c r="B29" s="454">
        <v>214110</v>
      </c>
      <c r="C29" s="455">
        <v>0</v>
      </c>
      <c r="D29" s="455">
        <v>3292</v>
      </c>
      <c r="E29" s="455">
        <v>306</v>
      </c>
      <c r="F29" s="455">
        <v>0</v>
      </c>
      <c r="G29" s="460">
        <f>SUM(C29:F29)</f>
        <v>3598</v>
      </c>
    </row>
    <row r="30" spans="1:7" s="188" customFormat="1" ht="19.5" customHeight="1">
      <c r="A30" s="903"/>
      <c r="B30" s="456" t="s">
        <v>155</v>
      </c>
      <c r="C30" s="457">
        <f>SUM(C28:C29)</f>
        <v>0</v>
      </c>
      <c r="D30" s="457">
        <f>SUM(D28:D29)</f>
        <v>190670</v>
      </c>
      <c r="E30" s="457">
        <f>SUM(E28:E29)</f>
        <v>554215</v>
      </c>
      <c r="F30" s="457">
        <f>SUM(F28:F29)</f>
        <v>0</v>
      </c>
      <c r="G30" s="458">
        <f>SUM(G28:G29)</f>
        <v>744885</v>
      </c>
    </row>
    <row r="31" spans="1:7" s="188" customFormat="1" ht="23.25" customHeight="1" thickBot="1">
      <c r="A31" s="470" t="s">
        <v>193</v>
      </c>
      <c r="B31" s="471">
        <v>114020</v>
      </c>
      <c r="C31" s="472">
        <v>20000</v>
      </c>
      <c r="D31" s="472">
        <v>0</v>
      </c>
      <c r="E31" s="472">
        <v>0</v>
      </c>
      <c r="F31" s="472">
        <v>0</v>
      </c>
      <c r="G31" s="458">
        <f>SUM(C31:F31)</f>
        <v>20000</v>
      </c>
    </row>
    <row r="32" spans="1:7" s="439" customFormat="1" ht="34.5" customHeight="1" thickBot="1">
      <c r="A32" s="908" t="s">
        <v>155</v>
      </c>
      <c r="B32" s="909"/>
      <c r="C32" s="473">
        <f>C8+C12+C21+C27+C30+C31</f>
        <v>1227840</v>
      </c>
      <c r="D32" s="473">
        <f>D8+D12+D21+D27+D30+D31</f>
        <v>216582</v>
      </c>
      <c r="E32" s="473">
        <f>E8+E12+E21+E27+E30+E31</f>
        <v>619677</v>
      </c>
      <c r="F32" s="473">
        <f>F8+F12+F21+F27+F30+F31</f>
        <v>0</v>
      </c>
      <c r="G32" s="474">
        <f>G8+G12+G21+G27+G30+G31</f>
        <v>2064099</v>
      </c>
    </row>
    <row r="33" spans="1:4" ht="12">
      <c r="A33" s="113" t="s">
        <v>457</v>
      </c>
      <c r="D33" s="187"/>
    </row>
  </sheetData>
  <sheetProtection/>
  <mergeCells count="8">
    <mergeCell ref="A28:A30"/>
    <mergeCell ref="A32:B32"/>
    <mergeCell ref="A1:G1"/>
    <mergeCell ref="A3:G3"/>
    <mergeCell ref="A5:A8"/>
    <mergeCell ref="A9:A12"/>
    <mergeCell ref="A13:A21"/>
    <mergeCell ref="A22:A27"/>
  </mergeCells>
  <printOptions horizontalCentered="1"/>
  <pageMargins left="0.7874015748031497" right="0.7874015748031497" top="0.984251968503937" bottom="0.984251968503937" header="0.7086614173228347" footer="0.31496062992125984"/>
  <pageSetup blackAndWhite="1" horizontalDpi="600" verticalDpi="600" orientation="landscape" paperSize="9" scale="68" r:id="rId1"/>
  <headerFooter alignWithMargins="0">
    <oddHeader>&amp;L&amp;"Arial CE,Tučné"&amp;12Kapitola: 314 - Ministerstvo vnitra&amp;R&amp;"Arial CE,Tučné"&amp;12Tabulky č. 13/3&amp;"Arial CE,Obyčejné"&amp;10
List č. 2/4</oddHeader>
    <oddFooter>&amp;C&amp;12
&amp;P+134
&amp;11
&amp;12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5" zoomScaleNormal="75" workbookViewId="0" topLeftCell="A16">
      <selection activeCell="A33" sqref="A33"/>
    </sheetView>
  </sheetViews>
  <sheetFormatPr defaultColWidth="9.00390625" defaultRowHeight="12.75"/>
  <cols>
    <col min="1" max="1" width="41.00390625" style="112" customWidth="1"/>
    <col min="2" max="2" width="10.75390625" style="112" customWidth="1"/>
    <col min="3" max="3" width="12.625" style="112" customWidth="1"/>
    <col min="4" max="4" width="16.75390625" style="112" customWidth="1"/>
    <col min="5" max="6" width="12.625" style="112" customWidth="1"/>
    <col min="7" max="7" width="18.625" style="112" customWidth="1"/>
    <col min="8" max="9" width="18.875" style="112" customWidth="1"/>
    <col min="10" max="10" width="19.125" style="112" customWidth="1"/>
    <col min="11" max="12" width="11.75390625" style="112" customWidth="1"/>
    <col min="13" max="13" width="14.25390625" style="112" customWidth="1"/>
    <col min="14" max="14" width="10.75390625" style="112" customWidth="1"/>
    <col min="15" max="16384" width="9.125" style="112" customWidth="1"/>
  </cols>
  <sheetData>
    <row r="1" spans="1:13" ht="23.25" customHeight="1">
      <c r="A1" s="900" t="s">
        <v>186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</row>
    <row r="2" ht="16.5" customHeight="1" thickBot="1">
      <c r="M2" s="186" t="s">
        <v>91</v>
      </c>
    </row>
    <row r="3" spans="1:13" s="188" customFormat="1" ht="17.25" customHeight="1" thickBot="1">
      <c r="A3" s="857" t="s">
        <v>172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2"/>
    </row>
    <row r="4" spans="1:13" s="188" customFormat="1" ht="64.5" thickBot="1">
      <c r="A4" s="450" t="s">
        <v>187</v>
      </c>
      <c r="B4" s="430" t="s">
        <v>188</v>
      </c>
      <c r="C4" s="430" t="s">
        <v>151</v>
      </c>
      <c r="D4" s="430" t="s">
        <v>152</v>
      </c>
      <c r="E4" s="430" t="s">
        <v>153</v>
      </c>
      <c r="F4" s="430" t="s">
        <v>194</v>
      </c>
      <c r="G4" s="430" t="s">
        <v>174</v>
      </c>
      <c r="H4" s="430" t="s">
        <v>175</v>
      </c>
      <c r="I4" s="430" t="s">
        <v>195</v>
      </c>
      <c r="J4" s="430" t="s">
        <v>196</v>
      </c>
      <c r="K4" s="430" t="s">
        <v>178</v>
      </c>
      <c r="L4" s="430" t="s">
        <v>179</v>
      </c>
      <c r="M4" s="431" t="s">
        <v>155</v>
      </c>
    </row>
    <row r="5" spans="1:13" s="188" customFormat="1" ht="19.5" customHeight="1">
      <c r="A5" s="910" t="s">
        <v>189</v>
      </c>
      <c r="B5" s="467">
        <v>114070</v>
      </c>
      <c r="C5" s="468">
        <v>10536</v>
      </c>
      <c r="D5" s="468">
        <v>0</v>
      </c>
      <c r="E5" s="468">
        <v>0</v>
      </c>
      <c r="F5" s="468">
        <v>0</v>
      </c>
      <c r="G5" s="468">
        <v>5837</v>
      </c>
      <c r="H5" s="468">
        <v>0</v>
      </c>
      <c r="I5" s="468">
        <v>0</v>
      </c>
      <c r="J5" s="468">
        <v>0</v>
      </c>
      <c r="K5" s="468">
        <v>0</v>
      </c>
      <c r="L5" s="468">
        <v>0</v>
      </c>
      <c r="M5" s="469">
        <f>SUM(C5:L5)</f>
        <v>16373</v>
      </c>
    </row>
    <row r="6" spans="1:13" s="188" customFormat="1" ht="19.5" customHeight="1">
      <c r="A6" s="902"/>
      <c r="B6" s="454">
        <v>114110</v>
      </c>
      <c r="C6" s="475">
        <v>378307</v>
      </c>
      <c r="D6" s="475">
        <v>5255</v>
      </c>
      <c r="E6" s="455">
        <v>331</v>
      </c>
      <c r="F6" s="455">
        <v>0</v>
      </c>
      <c r="G6" s="455">
        <v>102237</v>
      </c>
      <c r="H6" s="455">
        <v>3557</v>
      </c>
      <c r="I6" s="455">
        <v>21742</v>
      </c>
      <c r="J6" s="455">
        <v>72</v>
      </c>
      <c r="K6" s="455">
        <v>19598</v>
      </c>
      <c r="L6" s="455">
        <v>0</v>
      </c>
      <c r="M6" s="460">
        <f>SUM(C6:L6)</f>
        <v>531099</v>
      </c>
    </row>
    <row r="7" spans="1:13" s="188" customFormat="1" ht="19.5" customHeight="1">
      <c r="A7" s="902"/>
      <c r="B7" s="454">
        <v>214110</v>
      </c>
      <c r="C7" s="455">
        <v>53759</v>
      </c>
      <c r="D7" s="455">
        <v>0</v>
      </c>
      <c r="E7" s="455">
        <v>0</v>
      </c>
      <c r="F7" s="455">
        <v>0</v>
      </c>
      <c r="G7" s="475">
        <v>25574</v>
      </c>
      <c r="H7" s="475">
        <v>4</v>
      </c>
      <c r="I7" s="475">
        <v>24</v>
      </c>
      <c r="J7" s="475">
        <v>0</v>
      </c>
      <c r="K7" s="475">
        <v>0</v>
      </c>
      <c r="L7" s="475">
        <v>0</v>
      </c>
      <c r="M7" s="460">
        <f>SUM(C7:L7)</f>
        <v>79361</v>
      </c>
    </row>
    <row r="8" spans="1:13" s="188" customFormat="1" ht="19.5" customHeight="1">
      <c r="A8" s="903"/>
      <c r="B8" s="456" t="s">
        <v>155</v>
      </c>
      <c r="C8" s="457">
        <f aca="true" t="shared" si="0" ref="C8:M8">SUM(C5:C7)</f>
        <v>442602</v>
      </c>
      <c r="D8" s="457">
        <f t="shared" si="0"/>
        <v>5255</v>
      </c>
      <c r="E8" s="457">
        <f t="shared" si="0"/>
        <v>331</v>
      </c>
      <c r="F8" s="457">
        <f t="shared" si="0"/>
        <v>0</v>
      </c>
      <c r="G8" s="457">
        <f t="shared" si="0"/>
        <v>133648</v>
      </c>
      <c r="H8" s="457">
        <f t="shared" si="0"/>
        <v>3561</v>
      </c>
      <c r="I8" s="457">
        <f t="shared" si="0"/>
        <v>21766</v>
      </c>
      <c r="J8" s="457">
        <f t="shared" si="0"/>
        <v>72</v>
      </c>
      <c r="K8" s="457">
        <f t="shared" si="0"/>
        <v>19598</v>
      </c>
      <c r="L8" s="457">
        <f t="shared" si="0"/>
        <v>0</v>
      </c>
      <c r="M8" s="458">
        <f t="shared" si="0"/>
        <v>626833</v>
      </c>
    </row>
    <row r="9" spans="1:13" s="188" customFormat="1" ht="19.5" customHeight="1">
      <c r="A9" s="901" t="s">
        <v>190</v>
      </c>
      <c r="B9" s="454">
        <v>114070</v>
      </c>
      <c r="C9" s="455">
        <v>29223</v>
      </c>
      <c r="D9" s="455">
        <v>0</v>
      </c>
      <c r="E9" s="455">
        <v>0</v>
      </c>
      <c r="F9" s="455">
        <v>0</v>
      </c>
      <c r="G9" s="455">
        <v>11685</v>
      </c>
      <c r="H9" s="455">
        <v>0</v>
      </c>
      <c r="I9" s="455">
        <v>0</v>
      </c>
      <c r="J9" s="455">
        <v>0</v>
      </c>
      <c r="K9" s="455">
        <v>0</v>
      </c>
      <c r="L9" s="455">
        <v>1624</v>
      </c>
      <c r="M9" s="460">
        <f>SUM(C9:L9)</f>
        <v>42532</v>
      </c>
    </row>
    <row r="10" spans="1:13" s="188" customFormat="1" ht="19.5" customHeight="1">
      <c r="A10" s="902"/>
      <c r="B10" s="454">
        <v>114210</v>
      </c>
      <c r="C10" s="455">
        <v>49703</v>
      </c>
      <c r="D10" s="455">
        <v>238</v>
      </c>
      <c r="E10" s="455">
        <v>1355</v>
      </c>
      <c r="F10" s="455">
        <v>0</v>
      </c>
      <c r="G10" s="455">
        <v>28921</v>
      </c>
      <c r="H10" s="455">
        <v>429</v>
      </c>
      <c r="I10" s="455">
        <v>3358</v>
      </c>
      <c r="J10" s="455">
        <v>0</v>
      </c>
      <c r="K10" s="455">
        <v>0</v>
      </c>
      <c r="L10" s="455">
        <v>0</v>
      </c>
      <c r="M10" s="460">
        <f>SUM(C10:L10)</f>
        <v>84004</v>
      </c>
    </row>
    <row r="11" spans="1:13" s="188" customFormat="1" ht="19.5" customHeight="1">
      <c r="A11" s="902"/>
      <c r="B11" s="454">
        <v>114240</v>
      </c>
      <c r="C11" s="455">
        <v>129984</v>
      </c>
      <c r="D11" s="455">
        <v>0</v>
      </c>
      <c r="E11" s="455">
        <v>0</v>
      </c>
      <c r="F11" s="455">
        <v>0</v>
      </c>
      <c r="G11" s="455">
        <v>0</v>
      </c>
      <c r="H11" s="455">
        <v>0</v>
      </c>
      <c r="I11" s="455">
        <v>0</v>
      </c>
      <c r="J11" s="455">
        <v>0</v>
      </c>
      <c r="K11" s="455">
        <v>2177</v>
      </c>
      <c r="L11" s="455">
        <v>88471</v>
      </c>
      <c r="M11" s="460">
        <f>SUM(C11:L11)</f>
        <v>220632</v>
      </c>
    </row>
    <row r="12" spans="1:13" s="188" customFormat="1" ht="19.5" customHeight="1">
      <c r="A12" s="903"/>
      <c r="B12" s="456" t="s">
        <v>155</v>
      </c>
      <c r="C12" s="457">
        <f aca="true" t="shared" si="1" ref="C12:M12">SUM(C9:C11)</f>
        <v>208910</v>
      </c>
      <c r="D12" s="457">
        <f t="shared" si="1"/>
        <v>238</v>
      </c>
      <c r="E12" s="457">
        <f t="shared" si="1"/>
        <v>1355</v>
      </c>
      <c r="F12" s="457">
        <f t="shared" si="1"/>
        <v>0</v>
      </c>
      <c r="G12" s="457">
        <f t="shared" si="1"/>
        <v>40606</v>
      </c>
      <c r="H12" s="457">
        <f t="shared" si="1"/>
        <v>429</v>
      </c>
      <c r="I12" s="457">
        <f t="shared" si="1"/>
        <v>3358</v>
      </c>
      <c r="J12" s="457">
        <f t="shared" si="1"/>
        <v>0</v>
      </c>
      <c r="K12" s="457">
        <f t="shared" si="1"/>
        <v>2177</v>
      </c>
      <c r="L12" s="457">
        <f t="shared" si="1"/>
        <v>90095</v>
      </c>
      <c r="M12" s="458">
        <f t="shared" si="1"/>
        <v>347168</v>
      </c>
    </row>
    <row r="13" spans="1:13" s="188" customFormat="1" ht="19.5" customHeight="1">
      <c r="A13" s="902" t="s">
        <v>456</v>
      </c>
      <c r="B13" s="1028" t="s">
        <v>454</v>
      </c>
      <c r="C13" s="475">
        <v>14316</v>
      </c>
      <c r="D13" s="455">
        <v>0</v>
      </c>
      <c r="E13" s="455">
        <v>0</v>
      </c>
      <c r="F13" s="455">
        <v>0</v>
      </c>
      <c r="G13" s="455">
        <v>0</v>
      </c>
      <c r="H13" s="455">
        <v>0</v>
      </c>
      <c r="I13" s="455">
        <v>0</v>
      </c>
      <c r="J13" s="455">
        <v>0</v>
      </c>
      <c r="K13" s="455">
        <v>0</v>
      </c>
      <c r="L13" s="455">
        <v>0</v>
      </c>
      <c r="M13" s="460">
        <f>SUM(C13:L13)</f>
        <v>14316</v>
      </c>
    </row>
    <row r="14" spans="1:13" s="188" customFormat="1" ht="19.5" customHeight="1">
      <c r="A14" s="902"/>
      <c r="B14" s="454">
        <v>114050</v>
      </c>
      <c r="C14" s="455">
        <v>13476</v>
      </c>
      <c r="D14" s="455">
        <v>0</v>
      </c>
      <c r="E14" s="455">
        <v>0</v>
      </c>
      <c r="F14" s="455">
        <v>0</v>
      </c>
      <c r="G14" s="455">
        <v>7947</v>
      </c>
      <c r="H14" s="455">
        <v>0</v>
      </c>
      <c r="I14" s="455">
        <v>0</v>
      </c>
      <c r="J14" s="455">
        <v>0</v>
      </c>
      <c r="K14" s="455">
        <v>0</v>
      </c>
      <c r="L14" s="455">
        <v>0</v>
      </c>
      <c r="M14" s="460">
        <f>SUM(C14:L14)</f>
        <v>21423</v>
      </c>
    </row>
    <row r="15" spans="1:13" s="188" customFormat="1" ht="19.5" customHeight="1">
      <c r="A15" s="902"/>
      <c r="B15" s="454">
        <v>114060</v>
      </c>
      <c r="C15" s="455">
        <v>0</v>
      </c>
      <c r="D15" s="455">
        <v>0</v>
      </c>
      <c r="E15" s="455">
        <v>0</v>
      </c>
      <c r="F15" s="455">
        <v>0</v>
      </c>
      <c r="G15" s="455">
        <v>0</v>
      </c>
      <c r="H15" s="455">
        <v>0</v>
      </c>
      <c r="I15" s="435" t="s">
        <v>180</v>
      </c>
      <c r="J15" s="455">
        <v>0</v>
      </c>
      <c r="K15" s="455">
        <v>0</v>
      </c>
      <c r="L15" s="455">
        <v>0</v>
      </c>
      <c r="M15" s="460">
        <v>182</v>
      </c>
    </row>
    <row r="16" spans="1:13" s="188" customFormat="1" ht="19.5" customHeight="1">
      <c r="A16" s="902"/>
      <c r="B16" s="454">
        <v>114070</v>
      </c>
      <c r="C16" s="455">
        <v>50000</v>
      </c>
      <c r="D16" s="455">
        <v>0</v>
      </c>
      <c r="E16" s="455">
        <v>0</v>
      </c>
      <c r="F16" s="455">
        <v>0</v>
      </c>
      <c r="G16" s="455">
        <v>16000</v>
      </c>
      <c r="H16" s="455">
        <v>0</v>
      </c>
      <c r="I16" s="455">
        <v>0</v>
      </c>
      <c r="J16" s="455">
        <v>0</v>
      </c>
      <c r="K16" s="455">
        <v>0</v>
      </c>
      <c r="L16" s="455">
        <v>0</v>
      </c>
      <c r="M16" s="460">
        <f>SUM(C16:L16)</f>
        <v>66000</v>
      </c>
    </row>
    <row r="17" spans="1:13" s="188" customFormat="1" ht="19.5" customHeight="1">
      <c r="A17" s="902"/>
      <c r="B17" s="454">
        <v>114110</v>
      </c>
      <c r="C17" s="455">
        <v>0</v>
      </c>
      <c r="D17" s="455">
        <v>0</v>
      </c>
      <c r="E17" s="455">
        <v>0</v>
      </c>
      <c r="F17" s="455">
        <v>0</v>
      </c>
      <c r="G17" s="455">
        <v>0</v>
      </c>
      <c r="H17" s="455">
        <v>0</v>
      </c>
      <c r="I17" s="455">
        <v>0</v>
      </c>
      <c r="J17" s="455">
        <v>0</v>
      </c>
      <c r="K17" s="455">
        <v>0</v>
      </c>
      <c r="L17" s="455">
        <v>0</v>
      </c>
      <c r="M17" s="460">
        <f>SUM(C17:L17)</f>
        <v>0</v>
      </c>
    </row>
    <row r="18" spans="1:13" s="188" customFormat="1" ht="19.5" customHeight="1">
      <c r="A18" s="902"/>
      <c r="B18" s="454">
        <v>114410</v>
      </c>
      <c r="C18" s="455">
        <v>1800</v>
      </c>
      <c r="D18" s="455">
        <v>0</v>
      </c>
      <c r="E18" s="455">
        <v>0</v>
      </c>
      <c r="F18" s="455">
        <v>0</v>
      </c>
      <c r="G18" s="455">
        <v>6610</v>
      </c>
      <c r="H18" s="455">
        <v>0</v>
      </c>
      <c r="I18" s="455">
        <v>0</v>
      </c>
      <c r="J18" s="455">
        <v>0</v>
      </c>
      <c r="K18" s="455">
        <v>0</v>
      </c>
      <c r="L18" s="455">
        <v>0</v>
      </c>
      <c r="M18" s="460">
        <f>SUM(C18:L18)</f>
        <v>8410</v>
      </c>
    </row>
    <row r="19" spans="1:13" s="188" customFormat="1" ht="19.5" customHeight="1">
      <c r="A19" s="902"/>
      <c r="B19" s="454">
        <v>214110</v>
      </c>
      <c r="C19" s="475">
        <v>52493</v>
      </c>
      <c r="D19" s="455">
        <v>913</v>
      </c>
      <c r="E19" s="455">
        <v>0</v>
      </c>
      <c r="F19" s="455">
        <v>0</v>
      </c>
      <c r="G19" s="475">
        <v>7333</v>
      </c>
      <c r="H19" s="455">
        <v>6756</v>
      </c>
      <c r="I19" s="455">
        <v>28477</v>
      </c>
      <c r="J19" s="455">
        <v>0</v>
      </c>
      <c r="K19" s="455">
        <v>0</v>
      </c>
      <c r="L19" s="455">
        <v>0</v>
      </c>
      <c r="M19" s="460">
        <f>SUM(C19:L19)</f>
        <v>95972</v>
      </c>
    </row>
    <row r="20" spans="1:13" s="188" customFormat="1" ht="19.5" customHeight="1">
      <c r="A20" s="902"/>
      <c r="B20" s="454">
        <v>214910</v>
      </c>
      <c r="C20" s="455">
        <v>57943</v>
      </c>
      <c r="D20" s="455">
        <v>0</v>
      </c>
      <c r="E20" s="455">
        <v>0</v>
      </c>
      <c r="F20" s="455">
        <v>0</v>
      </c>
      <c r="G20" s="455">
        <v>16975</v>
      </c>
      <c r="H20" s="455">
        <v>0</v>
      </c>
      <c r="I20" s="455">
        <v>0</v>
      </c>
      <c r="J20" s="455">
        <v>0</v>
      </c>
      <c r="K20" s="455">
        <v>0</v>
      </c>
      <c r="L20" s="455">
        <v>0</v>
      </c>
      <c r="M20" s="460">
        <f>SUM(C20:L20)</f>
        <v>74918</v>
      </c>
    </row>
    <row r="21" spans="1:13" s="188" customFormat="1" ht="19.5" customHeight="1">
      <c r="A21" s="903"/>
      <c r="B21" s="456" t="s">
        <v>155</v>
      </c>
      <c r="C21" s="457">
        <f aca="true" t="shared" si="2" ref="C21:H21">SUM(C13:C20)</f>
        <v>190028</v>
      </c>
      <c r="D21" s="457">
        <f t="shared" si="2"/>
        <v>913</v>
      </c>
      <c r="E21" s="457">
        <f t="shared" si="2"/>
        <v>0</v>
      </c>
      <c r="F21" s="457">
        <f t="shared" si="2"/>
        <v>0</v>
      </c>
      <c r="G21" s="457">
        <f t="shared" si="2"/>
        <v>54865</v>
      </c>
      <c r="H21" s="457">
        <f t="shared" si="2"/>
        <v>6756</v>
      </c>
      <c r="I21" s="457">
        <f>I19+182</f>
        <v>28659</v>
      </c>
      <c r="J21" s="457">
        <f>SUM(J13:J20)</f>
        <v>0</v>
      </c>
      <c r="K21" s="457">
        <f>SUM(K13:K20)</f>
        <v>0</v>
      </c>
      <c r="L21" s="457">
        <f>SUM(L13:L20)</f>
        <v>0</v>
      </c>
      <c r="M21" s="458">
        <f>SUM(M13:M20)</f>
        <v>281221</v>
      </c>
    </row>
    <row r="22" spans="1:13" s="188" customFormat="1" ht="19.5" customHeight="1">
      <c r="A22" s="901" t="s">
        <v>191</v>
      </c>
      <c r="B22" s="454">
        <v>114020</v>
      </c>
      <c r="C22" s="455">
        <v>17233</v>
      </c>
      <c r="D22" s="455">
        <v>0</v>
      </c>
      <c r="E22" s="455">
        <v>0</v>
      </c>
      <c r="F22" s="455">
        <v>0</v>
      </c>
      <c r="G22" s="455">
        <v>4733</v>
      </c>
      <c r="H22" s="455">
        <v>0</v>
      </c>
      <c r="I22" s="455">
        <v>0</v>
      </c>
      <c r="J22" s="455">
        <v>0</v>
      </c>
      <c r="K22" s="455">
        <v>0</v>
      </c>
      <c r="L22" s="455">
        <v>0</v>
      </c>
      <c r="M22" s="460">
        <f>SUM(C22:L22)</f>
        <v>21966</v>
      </c>
    </row>
    <row r="23" spans="1:13" s="188" customFormat="1" ht="19.5" customHeight="1">
      <c r="A23" s="906"/>
      <c r="B23" s="454">
        <v>114030</v>
      </c>
      <c r="C23" s="475">
        <v>13446</v>
      </c>
      <c r="D23" s="455">
        <v>0</v>
      </c>
      <c r="E23" s="455">
        <v>0</v>
      </c>
      <c r="F23" s="455">
        <v>0</v>
      </c>
      <c r="G23" s="455">
        <v>2677</v>
      </c>
      <c r="H23" s="455">
        <v>0</v>
      </c>
      <c r="I23" s="455">
        <v>0</v>
      </c>
      <c r="J23" s="455">
        <v>0</v>
      </c>
      <c r="K23" s="455">
        <v>0</v>
      </c>
      <c r="L23" s="455">
        <v>0</v>
      </c>
      <c r="M23" s="460">
        <f>SUM(C23:L23)</f>
        <v>16123</v>
      </c>
    </row>
    <row r="24" spans="1:13" s="188" customFormat="1" ht="19.5" customHeight="1">
      <c r="A24" s="906"/>
      <c r="B24" s="454">
        <v>114040</v>
      </c>
      <c r="C24" s="475">
        <v>1653</v>
      </c>
      <c r="D24" s="455">
        <v>0</v>
      </c>
      <c r="E24" s="455">
        <v>0</v>
      </c>
      <c r="F24" s="455">
        <v>0</v>
      </c>
      <c r="G24" s="455">
        <v>1100</v>
      </c>
      <c r="H24" s="455">
        <v>0</v>
      </c>
      <c r="I24" s="455">
        <v>0</v>
      </c>
      <c r="J24" s="455">
        <v>0</v>
      </c>
      <c r="K24" s="455">
        <v>0</v>
      </c>
      <c r="L24" s="455">
        <v>0</v>
      </c>
      <c r="M24" s="460">
        <f>SUM(C24:L24)</f>
        <v>2753</v>
      </c>
    </row>
    <row r="25" spans="1:13" s="188" customFormat="1" ht="19.5" customHeight="1">
      <c r="A25" s="906"/>
      <c r="B25" s="454">
        <v>214020</v>
      </c>
      <c r="C25" s="455">
        <v>0</v>
      </c>
      <c r="D25" s="455">
        <v>0</v>
      </c>
      <c r="E25" s="455">
        <v>0</v>
      </c>
      <c r="F25" s="455">
        <v>0</v>
      </c>
      <c r="G25" s="455">
        <v>4619</v>
      </c>
      <c r="H25" s="455">
        <v>0</v>
      </c>
      <c r="I25" s="455">
        <v>0</v>
      </c>
      <c r="J25" s="455">
        <v>0</v>
      </c>
      <c r="K25" s="455">
        <v>0</v>
      </c>
      <c r="L25" s="455">
        <v>0</v>
      </c>
      <c r="M25" s="460">
        <f>SUM(C25:L25)</f>
        <v>4619</v>
      </c>
    </row>
    <row r="26" spans="1:13" s="188" customFormat="1" ht="19.5" customHeight="1">
      <c r="A26" s="906"/>
      <c r="B26" s="454">
        <v>214030</v>
      </c>
      <c r="C26" s="475">
        <v>1591</v>
      </c>
      <c r="D26" s="455">
        <v>0</v>
      </c>
      <c r="E26" s="455">
        <v>0</v>
      </c>
      <c r="F26" s="455">
        <v>0</v>
      </c>
      <c r="G26" s="455">
        <v>5595</v>
      </c>
      <c r="H26" s="455">
        <v>8</v>
      </c>
      <c r="I26" s="455">
        <v>45</v>
      </c>
      <c r="J26" s="455">
        <v>0</v>
      </c>
      <c r="K26" s="455">
        <v>0</v>
      </c>
      <c r="L26" s="455">
        <v>0</v>
      </c>
      <c r="M26" s="460">
        <f>SUM(C26:L26)</f>
        <v>7239</v>
      </c>
    </row>
    <row r="27" spans="1:13" s="188" customFormat="1" ht="19.5" customHeight="1">
      <c r="A27" s="907"/>
      <c r="B27" s="456" t="s">
        <v>155</v>
      </c>
      <c r="C27" s="457">
        <f aca="true" t="shared" si="3" ref="C27:M27">SUM(C22:C26)</f>
        <v>33923</v>
      </c>
      <c r="D27" s="457">
        <f t="shared" si="3"/>
        <v>0</v>
      </c>
      <c r="E27" s="457">
        <f t="shared" si="3"/>
        <v>0</v>
      </c>
      <c r="F27" s="457">
        <f t="shared" si="3"/>
        <v>0</v>
      </c>
      <c r="G27" s="457">
        <f t="shared" si="3"/>
        <v>18724</v>
      </c>
      <c r="H27" s="457">
        <f t="shared" si="3"/>
        <v>8</v>
      </c>
      <c r="I27" s="457">
        <f t="shared" si="3"/>
        <v>45</v>
      </c>
      <c r="J27" s="457">
        <f t="shared" si="3"/>
        <v>0</v>
      </c>
      <c r="K27" s="457">
        <f t="shared" si="3"/>
        <v>0</v>
      </c>
      <c r="L27" s="457">
        <f t="shared" si="3"/>
        <v>0</v>
      </c>
      <c r="M27" s="458">
        <f t="shared" si="3"/>
        <v>52700</v>
      </c>
    </row>
    <row r="28" spans="1:13" s="188" customFormat="1" ht="19.5" customHeight="1">
      <c r="A28" s="901" t="s">
        <v>197</v>
      </c>
      <c r="B28" s="454">
        <v>114070</v>
      </c>
      <c r="C28" s="455">
        <v>0</v>
      </c>
      <c r="D28" s="455">
        <v>5084</v>
      </c>
      <c r="E28" s="455">
        <v>66626</v>
      </c>
      <c r="F28" s="455">
        <v>0</v>
      </c>
      <c r="G28" s="455">
        <v>0</v>
      </c>
      <c r="H28" s="455">
        <v>118755</v>
      </c>
      <c r="I28" s="455">
        <v>876871</v>
      </c>
      <c r="J28" s="455">
        <v>0</v>
      </c>
      <c r="K28" s="455">
        <v>0</v>
      </c>
      <c r="L28" s="455">
        <v>0</v>
      </c>
      <c r="M28" s="460">
        <f>SUM(C28:L28)</f>
        <v>1067336</v>
      </c>
    </row>
    <row r="29" spans="1:13" s="188" customFormat="1" ht="19.5" customHeight="1">
      <c r="A29" s="902"/>
      <c r="B29" s="454">
        <v>214110</v>
      </c>
      <c r="C29" s="455">
        <v>0</v>
      </c>
      <c r="D29" s="455">
        <v>10</v>
      </c>
      <c r="E29" s="455">
        <v>0</v>
      </c>
      <c r="F29" s="455">
        <v>0</v>
      </c>
      <c r="G29" s="455">
        <v>0</v>
      </c>
      <c r="H29" s="455">
        <v>17734</v>
      </c>
      <c r="I29" s="455">
        <v>103592</v>
      </c>
      <c r="J29" s="455">
        <v>0</v>
      </c>
      <c r="K29" s="455">
        <v>0</v>
      </c>
      <c r="L29" s="455">
        <v>0</v>
      </c>
      <c r="M29" s="460">
        <f>SUM(C29:L29)</f>
        <v>121336</v>
      </c>
    </row>
    <row r="30" spans="1:13" s="188" customFormat="1" ht="19.5" customHeight="1">
      <c r="A30" s="903"/>
      <c r="B30" s="456" t="s">
        <v>155</v>
      </c>
      <c r="C30" s="457">
        <f aca="true" t="shared" si="4" ref="C30:M30">SUM(C28:C29)</f>
        <v>0</v>
      </c>
      <c r="D30" s="457">
        <f t="shared" si="4"/>
        <v>5094</v>
      </c>
      <c r="E30" s="457">
        <f t="shared" si="4"/>
        <v>66626</v>
      </c>
      <c r="F30" s="457">
        <f t="shared" si="4"/>
        <v>0</v>
      </c>
      <c r="G30" s="457">
        <f t="shared" si="4"/>
        <v>0</v>
      </c>
      <c r="H30" s="457">
        <f t="shared" si="4"/>
        <v>136489</v>
      </c>
      <c r="I30" s="457">
        <f t="shared" si="4"/>
        <v>980463</v>
      </c>
      <c r="J30" s="457">
        <f t="shared" si="4"/>
        <v>0</v>
      </c>
      <c r="K30" s="457">
        <f t="shared" si="4"/>
        <v>0</v>
      </c>
      <c r="L30" s="457">
        <f t="shared" si="4"/>
        <v>0</v>
      </c>
      <c r="M30" s="458">
        <f t="shared" si="4"/>
        <v>1188672</v>
      </c>
    </row>
    <row r="31" spans="1:13" s="188" customFormat="1" ht="19.5" customHeight="1" thickBot="1">
      <c r="A31" s="459" t="s">
        <v>193</v>
      </c>
      <c r="B31" s="461">
        <v>214020</v>
      </c>
      <c r="C31" s="462">
        <v>19679</v>
      </c>
      <c r="D31" s="462">
        <v>0</v>
      </c>
      <c r="E31" s="462">
        <v>0</v>
      </c>
      <c r="F31" s="462">
        <v>0</v>
      </c>
      <c r="G31" s="462">
        <v>0</v>
      </c>
      <c r="H31" s="462">
        <v>0</v>
      </c>
      <c r="I31" s="462">
        <v>0</v>
      </c>
      <c r="J31" s="462">
        <v>0</v>
      </c>
      <c r="K31" s="462">
        <v>0</v>
      </c>
      <c r="L31" s="462">
        <v>0</v>
      </c>
      <c r="M31" s="458">
        <f>SUM(C31:L31)</f>
        <v>19679</v>
      </c>
    </row>
    <row r="32" spans="1:13" s="439" customFormat="1" ht="34.5" customHeight="1" thickBot="1">
      <c r="A32" s="904" t="s">
        <v>155</v>
      </c>
      <c r="B32" s="905"/>
      <c r="C32" s="437">
        <f aca="true" t="shared" si="5" ref="C32:M32">C8+C12+C21+C27+C30+C31</f>
        <v>895142</v>
      </c>
      <c r="D32" s="437">
        <f t="shared" si="5"/>
        <v>11500</v>
      </c>
      <c r="E32" s="437">
        <f t="shared" si="5"/>
        <v>68312</v>
      </c>
      <c r="F32" s="437">
        <f t="shared" si="5"/>
        <v>0</v>
      </c>
      <c r="G32" s="437">
        <f t="shared" si="5"/>
        <v>247843</v>
      </c>
      <c r="H32" s="437">
        <f t="shared" si="5"/>
        <v>147243</v>
      </c>
      <c r="I32" s="437">
        <f t="shared" si="5"/>
        <v>1034291</v>
      </c>
      <c r="J32" s="437">
        <f t="shared" si="5"/>
        <v>72</v>
      </c>
      <c r="K32" s="437">
        <f t="shared" si="5"/>
        <v>21775</v>
      </c>
      <c r="L32" s="437">
        <f t="shared" si="5"/>
        <v>90095</v>
      </c>
      <c r="M32" s="438">
        <f t="shared" si="5"/>
        <v>2516273</v>
      </c>
    </row>
    <row r="33" ht="12">
      <c r="A33" s="113" t="s">
        <v>457</v>
      </c>
    </row>
  </sheetData>
  <sheetProtection/>
  <mergeCells count="8">
    <mergeCell ref="A1:M1"/>
    <mergeCell ref="A28:A30"/>
    <mergeCell ref="A32:B32"/>
    <mergeCell ref="A3:M3"/>
    <mergeCell ref="A5:A8"/>
    <mergeCell ref="A9:A12"/>
    <mergeCell ref="A13:A21"/>
    <mergeCell ref="A22:A27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60" r:id="rId1"/>
  <headerFooter alignWithMargins="0">
    <oddHeader>&amp;L&amp;"Arial CE,Tučné"&amp;12Kapitola: 314 - Ministerstvo vnitra&amp;R&amp;"Arial CE,Tučné"&amp;12Tabulky č. 13/3&amp;"Arial CE,Obyčejné"&amp;10
List č. 3/4</oddHeader>
    <oddFooter>&amp;C&amp;14&amp;P+135&amp;12
&amp;11
&amp;12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="75" zoomScaleNormal="75" workbookViewId="0" topLeftCell="A16">
      <selection activeCell="E41" sqref="E41"/>
    </sheetView>
  </sheetViews>
  <sheetFormatPr defaultColWidth="9.00390625" defaultRowHeight="12.75"/>
  <cols>
    <col min="1" max="1" width="48.625" style="112" customWidth="1"/>
    <col min="2" max="2" width="10.75390625" style="112" customWidth="1"/>
    <col min="3" max="3" width="16.75390625" style="112" customWidth="1"/>
    <col min="4" max="4" width="18.375" style="112" customWidth="1"/>
    <col min="5" max="8" width="16.75390625" style="112" customWidth="1"/>
    <col min="9" max="11" width="15.75390625" style="112" customWidth="1"/>
    <col min="12" max="13" width="11.75390625" style="112" customWidth="1"/>
    <col min="14" max="14" width="12.875" style="112" customWidth="1"/>
    <col min="15" max="15" width="10.75390625" style="112" customWidth="1"/>
    <col min="16" max="16384" width="9.125" style="112" customWidth="1"/>
  </cols>
  <sheetData>
    <row r="2" spans="1:14" ht="20.25" customHeight="1">
      <c r="A2" s="900" t="s">
        <v>186</v>
      </c>
      <c r="B2" s="900"/>
      <c r="C2" s="900"/>
      <c r="D2" s="900"/>
      <c r="E2" s="900"/>
      <c r="F2" s="900"/>
      <c r="G2" s="900"/>
      <c r="H2" s="900"/>
      <c r="I2" s="183"/>
      <c r="J2" s="183"/>
      <c r="K2" s="183"/>
      <c r="L2" s="183"/>
      <c r="M2" s="183"/>
      <c r="N2" s="183"/>
    </row>
    <row r="3" ht="16.5" customHeight="1" thickBot="1">
      <c r="H3" s="186" t="s">
        <v>91</v>
      </c>
    </row>
    <row r="4" spans="1:14" s="188" customFormat="1" ht="17.25" customHeight="1" thickBot="1">
      <c r="A4" s="857" t="s">
        <v>181</v>
      </c>
      <c r="B4" s="913"/>
      <c r="C4" s="913"/>
      <c r="D4" s="913"/>
      <c r="E4" s="913"/>
      <c r="F4" s="913"/>
      <c r="G4" s="913"/>
      <c r="H4" s="914"/>
      <c r="I4" s="476"/>
      <c r="J4" s="476"/>
      <c r="K4" s="476"/>
      <c r="L4" s="476"/>
      <c r="M4" s="476"/>
      <c r="N4" s="476"/>
    </row>
    <row r="5" spans="1:8" s="188" customFormat="1" ht="51.75" thickBot="1">
      <c r="A5" s="450" t="s">
        <v>187</v>
      </c>
      <c r="B5" s="430" t="s">
        <v>188</v>
      </c>
      <c r="C5" s="430" t="s">
        <v>151</v>
      </c>
      <c r="D5" s="430" t="s">
        <v>152</v>
      </c>
      <c r="E5" s="430" t="s">
        <v>153</v>
      </c>
      <c r="F5" s="430" t="s">
        <v>173</v>
      </c>
      <c r="G5" s="430" t="s">
        <v>179</v>
      </c>
      <c r="H5" s="431" t="s">
        <v>155</v>
      </c>
    </row>
    <row r="6" spans="1:8" s="188" customFormat="1" ht="15" customHeight="1">
      <c r="A6" s="910" t="s">
        <v>189</v>
      </c>
      <c r="B6" s="467">
        <v>114070</v>
      </c>
      <c r="C6" s="477">
        <v>11202</v>
      </c>
      <c r="D6" s="477">
        <v>0</v>
      </c>
      <c r="E6" s="477">
        <v>0</v>
      </c>
      <c r="F6" s="477">
        <v>0</v>
      </c>
      <c r="G6" s="477">
        <v>0</v>
      </c>
      <c r="H6" s="478">
        <f>SUM(C6:G6)</f>
        <v>11202</v>
      </c>
    </row>
    <row r="7" spans="1:8" s="188" customFormat="1" ht="15" customHeight="1">
      <c r="A7" s="902"/>
      <c r="B7" s="454">
        <v>114110</v>
      </c>
      <c r="C7" s="479">
        <v>66611</v>
      </c>
      <c r="D7" s="479">
        <v>18699</v>
      </c>
      <c r="E7" s="480">
        <v>63455</v>
      </c>
      <c r="F7" s="480">
        <v>0</v>
      </c>
      <c r="G7" s="480">
        <v>0</v>
      </c>
      <c r="H7" s="481">
        <f>SUM(C7:G7)</f>
        <v>148765</v>
      </c>
    </row>
    <row r="8" spans="1:8" s="188" customFormat="1" ht="15" customHeight="1">
      <c r="A8" s="902"/>
      <c r="B8" s="454">
        <v>214110</v>
      </c>
      <c r="C8" s="480">
        <v>5189</v>
      </c>
      <c r="D8" s="480">
        <v>0</v>
      </c>
      <c r="E8" s="480">
        <v>0</v>
      </c>
      <c r="F8" s="480">
        <v>0</v>
      </c>
      <c r="G8" s="480">
        <v>0</v>
      </c>
      <c r="H8" s="481">
        <f>SUM(C8:G8)</f>
        <v>5189</v>
      </c>
    </row>
    <row r="9" spans="1:8" s="188" customFormat="1" ht="15" customHeight="1">
      <c r="A9" s="903"/>
      <c r="B9" s="456" t="s">
        <v>155</v>
      </c>
      <c r="C9" s="482">
        <f aca="true" t="shared" si="0" ref="C9:H9">SUM(C6:C8)</f>
        <v>83002</v>
      </c>
      <c r="D9" s="482">
        <f t="shared" si="0"/>
        <v>18699</v>
      </c>
      <c r="E9" s="482">
        <f t="shared" si="0"/>
        <v>63455</v>
      </c>
      <c r="F9" s="482">
        <f t="shared" si="0"/>
        <v>0</v>
      </c>
      <c r="G9" s="482">
        <f t="shared" si="0"/>
        <v>0</v>
      </c>
      <c r="H9" s="483">
        <f t="shared" si="0"/>
        <v>165156</v>
      </c>
    </row>
    <row r="10" spans="1:8" s="188" customFormat="1" ht="15" customHeight="1">
      <c r="A10" s="901" t="s">
        <v>190</v>
      </c>
      <c r="B10" s="454">
        <v>114070</v>
      </c>
      <c r="C10" s="480">
        <v>24113</v>
      </c>
      <c r="D10" s="480">
        <v>0</v>
      </c>
      <c r="E10" s="480">
        <v>0</v>
      </c>
      <c r="F10" s="480">
        <v>0</v>
      </c>
      <c r="G10" s="480">
        <v>255</v>
      </c>
      <c r="H10" s="481">
        <f>SUM(C10:G10)</f>
        <v>24368</v>
      </c>
    </row>
    <row r="11" spans="1:8" s="188" customFormat="1" ht="15" customHeight="1">
      <c r="A11" s="902"/>
      <c r="B11" s="454">
        <v>114210</v>
      </c>
      <c r="C11" s="480">
        <v>9965</v>
      </c>
      <c r="D11" s="480">
        <v>806</v>
      </c>
      <c r="E11" s="480">
        <v>321</v>
      </c>
      <c r="F11" s="480">
        <v>0</v>
      </c>
      <c r="G11" s="480">
        <v>0</v>
      </c>
      <c r="H11" s="481">
        <f>SUM(C11:G11)</f>
        <v>11092</v>
      </c>
    </row>
    <row r="12" spans="1:8" s="188" customFormat="1" ht="15" customHeight="1">
      <c r="A12" s="902"/>
      <c r="B12" s="454">
        <v>114240</v>
      </c>
      <c r="C12" s="480">
        <v>30729</v>
      </c>
      <c r="D12" s="480">
        <v>0</v>
      </c>
      <c r="E12" s="480">
        <v>0</v>
      </c>
      <c r="F12" s="480">
        <v>0</v>
      </c>
      <c r="G12" s="480">
        <v>5149</v>
      </c>
      <c r="H12" s="481">
        <f>SUM(C12:G12)</f>
        <v>35878</v>
      </c>
    </row>
    <row r="13" spans="1:8" s="188" customFormat="1" ht="15" customHeight="1">
      <c r="A13" s="903"/>
      <c r="B13" s="456" t="s">
        <v>155</v>
      </c>
      <c r="C13" s="482">
        <f aca="true" t="shared" si="1" ref="C13:H13">SUM(C10:C12)</f>
        <v>64807</v>
      </c>
      <c r="D13" s="482">
        <f t="shared" si="1"/>
        <v>806</v>
      </c>
      <c r="E13" s="482">
        <f t="shared" si="1"/>
        <v>321</v>
      </c>
      <c r="F13" s="482">
        <f t="shared" si="1"/>
        <v>0</v>
      </c>
      <c r="G13" s="482">
        <f t="shared" si="1"/>
        <v>5404</v>
      </c>
      <c r="H13" s="483">
        <f t="shared" si="1"/>
        <v>71338</v>
      </c>
    </row>
    <row r="14" spans="1:8" s="188" customFormat="1" ht="15" customHeight="1">
      <c r="A14" s="902" t="s">
        <v>455</v>
      </c>
      <c r="B14" s="1028" t="s">
        <v>454</v>
      </c>
      <c r="C14" s="480">
        <v>3088</v>
      </c>
      <c r="D14" s="480">
        <v>0</v>
      </c>
      <c r="E14" s="480">
        <v>0</v>
      </c>
      <c r="F14" s="480">
        <v>0</v>
      </c>
      <c r="G14" s="480">
        <v>0</v>
      </c>
      <c r="H14" s="481">
        <f aca="true" t="shared" si="2" ref="H14:H21">SUM(C14:G14)</f>
        <v>3088</v>
      </c>
    </row>
    <row r="15" spans="1:8" s="188" customFormat="1" ht="15" customHeight="1">
      <c r="A15" s="902"/>
      <c r="B15" s="454">
        <v>114050</v>
      </c>
      <c r="C15" s="480">
        <v>0</v>
      </c>
      <c r="D15" s="480">
        <v>0</v>
      </c>
      <c r="E15" s="480">
        <v>0</v>
      </c>
      <c r="F15" s="480">
        <v>0</v>
      </c>
      <c r="G15" s="480">
        <v>0</v>
      </c>
      <c r="H15" s="481">
        <f t="shared" si="2"/>
        <v>0</v>
      </c>
    </row>
    <row r="16" spans="1:8" s="188" customFormat="1" ht="15" customHeight="1">
      <c r="A16" s="902"/>
      <c r="B16" s="454">
        <v>114060</v>
      </c>
      <c r="C16" s="480">
        <v>0</v>
      </c>
      <c r="D16" s="480">
        <v>0</v>
      </c>
      <c r="E16" s="480">
        <v>0</v>
      </c>
      <c r="F16" s="480">
        <v>0</v>
      </c>
      <c r="G16" s="480">
        <v>0</v>
      </c>
      <c r="H16" s="481">
        <f t="shared" si="2"/>
        <v>0</v>
      </c>
    </row>
    <row r="17" spans="1:8" s="188" customFormat="1" ht="15" customHeight="1">
      <c r="A17" s="902"/>
      <c r="B17" s="454">
        <v>114070</v>
      </c>
      <c r="C17" s="480">
        <v>0</v>
      </c>
      <c r="D17" s="480">
        <v>0</v>
      </c>
      <c r="E17" s="480">
        <v>0</v>
      </c>
      <c r="F17" s="480">
        <v>0</v>
      </c>
      <c r="G17" s="480">
        <v>0</v>
      </c>
      <c r="H17" s="481">
        <f t="shared" si="2"/>
        <v>0</v>
      </c>
    </row>
    <row r="18" spans="1:8" s="188" customFormat="1" ht="15" customHeight="1">
      <c r="A18" s="902"/>
      <c r="B18" s="454">
        <v>114110</v>
      </c>
      <c r="C18" s="480">
        <v>5189</v>
      </c>
      <c r="D18" s="480">
        <v>0</v>
      </c>
      <c r="E18" s="480">
        <v>0</v>
      </c>
      <c r="F18" s="480">
        <v>0</v>
      </c>
      <c r="G18" s="480">
        <v>0</v>
      </c>
      <c r="H18" s="481">
        <f t="shared" si="2"/>
        <v>5189</v>
      </c>
    </row>
    <row r="19" spans="1:8" s="188" customFormat="1" ht="15" customHeight="1">
      <c r="A19" s="902"/>
      <c r="B19" s="454">
        <v>114410</v>
      </c>
      <c r="C19" s="480">
        <v>0</v>
      </c>
      <c r="D19" s="480">
        <v>0</v>
      </c>
      <c r="E19" s="480">
        <v>0</v>
      </c>
      <c r="F19" s="480">
        <v>0</v>
      </c>
      <c r="G19" s="480">
        <v>0</v>
      </c>
      <c r="H19" s="481">
        <f t="shared" si="2"/>
        <v>0</v>
      </c>
    </row>
    <row r="20" spans="1:8" s="188" customFormat="1" ht="15" customHeight="1">
      <c r="A20" s="902"/>
      <c r="B20" s="454">
        <v>214110</v>
      </c>
      <c r="C20" s="479">
        <v>40926</v>
      </c>
      <c r="D20" s="480">
        <v>1</v>
      </c>
      <c r="E20" s="480">
        <v>0</v>
      </c>
      <c r="F20" s="480">
        <v>0</v>
      </c>
      <c r="G20" s="480">
        <v>0</v>
      </c>
      <c r="H20" s="481">
        <f t="shared" si="2"/>
        <v>40927</v>
      </c>
    </row>
    <row r="21" spans="1:8" s="188" customFormat="1" ht="15" customHeight="1">
      <c r="A21" s="902"/>
      <c r="B21" s="454">
        <v>214910</v>
      </c>
      <c r="C21" s="480">
        <v>7</v>
      </c>
      <c r="D21" s="480">
        <v>0</v>
      </c>
      <c r="E21" s="480">
        <v>0</v>
      </c>
      <c r="F21" s="480">
        <v>0</v>
      </c>
      <c r="G21" s="480">
        <v>0</v>
      </c>
      <c r="H21" s="481">
        <f t="shared" si="2"/>
        <v>7</v>
      </c>
    </row>
    <row r="22" spans="1:8" s="188" customFormat="1" ht="15" customHeight="1">
      <c r="A22" s="903"/>
      <c r="B22" s="456" t="s">
        <v>155</v>
      </c>
      <c r="C22" s="482">
        <f aca="true" t="shared" si="3" ref="C22:H22">SUM(C14:C21)</f>
        <v>49210</v>
      </c>
      <c r="D22" s="482">
        <f t="shared" si="3"/>
        <v>1</v>
      </c>
      <c r="E22" s="482">
        <f t="shared" si="3"/>
        <v>0</v>
      </c>
      <c r="F22" s="482">
        <f t="shared" si="3"/>
        <v>0</v>
      </c>
      <c r="G22" s="482">
        <f t="shared" si="3"/>
        <v>0</v>
      </c>
      <c r="H22" s="483">
        <f t="shared" si="3"/>
        <v>49211</v>
      </c>
    </row>
    <row r="23" spans="1:8" s="188" customFormat="1" ht="15" customHeight="1">
      <c r="A23" s="901" t="s">
        <v>191</v>
      </c>
      <c r="B23" s="454">
        <v>114020</v>
      </c>
      <c r="C23" s="480">
        <v>8001</v>
      </c>
      <c r="D23" s="480">
        <v>0</v>
      </c>
      <c r="E23" s="480">
        <v>0</v>
      </c>
      <c r="F23" s="480">
        <v>0</v>
      </c>
      <c r="G23" s="480">
        <v>0</v>
      </c>
      <c r="H23" s="481">
        <f>SUM(C23:G23)</f>
        <v>8001</v>
      </c>
    </row>
    <row r="24" spans="1:8" s="188" customFormat="1" ht="15" customHeight="1">
      <c r="A24" s="906"/>
      <c r="B24" s="454">
        <v>114030</v>
      </c>
      <c r="C24" s="479">
        <v>10423</v>
      </c>
      <c r="D24" s="480">
        <v>0</v>
      </c>
      <c r="E24" s="480">
        <v>0</v>
      </c>
      <c r="F24" s="480">
        <v>0</v>
      </c>
      <c r="G24" s="480">
        <v>0</v>
      </c>
      <c r="H24" s="481">
        <f>SUM(C24:G24)</f>
        <v>10423</v>
      </c>
    </row>
    <row r="25" spans="1:8" s="188" customFormat="1" ht="15" customHeight="1">
      <c r="A25" s="906"/>
      <c r="B25" s="454">
        <v>114040</v>
      </c>
      <c r="C25" s="480">
        <v>3</v>
      </c>
      <c r="D25" s="480">
        <v>0</v>
      </c>
      <c r="E25" s="480">
        <v>0</v>
      </c>
      <c r="F25" s="480">
        <v>0</v>
      </c>
      <c r="G25" s="480">
        <v>0</v>
      </c>
      <c r="H25" s="481">
        <f>SUM(C25:G25)</f>
        <v>3</v>
      </c>
    </row>
    <row r="26" spans="1:8" s="188" customFormat="1" ht="15" customHeight="1">
      <c r="A26" s="906"/>
      <c r="B26" s="454">
        <v>214020</v>
      </c>
      <c r="C26" s="480">
        <v>0</v>
      </c>
      <c r="D26" s="480">
        <v>0</v>
      </c>
      <c r="E26" s="480">
        <v>0</v>
      </c>
      <c r="F26" s="480">
        <v>0</v>
      </c>
      <c r="G26" s="480">
        <v>0</v>
      </c>
      <c r="H26" s="481">
        <f>SUM(C26:G26)</f>
        <v>0</v>
      </c>
    </row>
    <row r="27" spans="1:8" s="188" customFormat="1" ht="15" customHeight="1">
      <c r="A27" s="906"/>
      <c r="B27" s="454">
        <v>214030</v>
      </c>
      <c r="C27" s="479">
        <v>12000</v>
      </c>
      <c r="D27" s="480">
        <v>0</v>
      </c>
      <c r="E27" s="480">
        <v>0</v>
      </c>
      <c r="F27" s="480">
        <v>0</v>
      </c>
      <c r="G27" s="480">
        <v>0</v>
      </c>
      <c r="H27" s="481">
        <f>SUM(C27:G27)</f>
        <v>12000</v>
      </c>
    </row>
    <row r="28" spans="1:8" s="188" customFormat="1" ht="15" customHeight="1">
      <c r="A28" s="907"/>
      <c r="B28" s="456" t="s">
        <v>155</v>
      </c>
      <c r="C28" s="482">
        <f aca="true" t="shared" si="4" ref="C28:H28">SUM(C23:C27)</f>
        <v>30427</v>
      </c>
      <c r="D28" s="482">
        <f t="shared" si="4"/>
        <v>0</v>
      </c>
      <c r="E28" s="482">
        <f t="shared" si="4"/>
        <v>0</v>
      </c>
      <c r="F28" s="482">
        <f t="shared" si="4"/>
        <v>0</v>
      </c>
      <c r="G28" s="482">
        <f t="shared" si="4"/>
        <v>0</v>
      </c>
      <c r="H28" s="483">
        <f t="shared" si="4"/>
        <v>30427</v>
      </c>
    </row>
    <row r="29" spans="1:8" s="188" customFormat="1" ht="15" customHeight="1">
      <c r="A29" s="901" t="s">
        <v>192</v>
      </c>
      <c r="B29" s="454">
        <v>114070</v>
      </c>
      <c r="C29" s="480">
        <v>0</v>
      </c>
      <c r="D29" s="480">
        <v>182294</v>
      </c>
      <c r="E29" s="480">
        <v>487283</v>
      </c>
      <c r="F29" s="480">
        <v>0</v>
      </c>
      <c r="G29" s="480">
        <v>0</v>
      </c>
      <c r="H29" s="481">
        <f>SUM(C29:G29)</f>
        <v>669577</v>
      </c>
    </row>
    <row r="30" spans="1:8" s="188" customFormat="1" ht="15" customHeight="1">
      <c r="A30" s="902"/>
      <c r="B30" s="454">
        <v>214110</v>
      </c>
      <c r="C30" s="480">
        <v>0</v>
      </c>
      <c r="D30" s="480">
        <v>3282</v>
      </c>
      <c r="E30" s="480">
        <v>306</v>
      </c>
      <c r="F30" s="480">
        <v>0</v>
      </c>
      <c r="G30" s="480">
        <v>0</v>
      </c>
      <c r="H30" s="481">
        <f>SUM(C30:G30)</f>
        <v>3588</v>
      </c>
    </row>
    <row r="31" spans="1:8" s="188" customFormat="1" ht="15" customHeight="1">
      <c r="A31" s="903"/>
      <c r="B31" s="456" t="s">
        <v>155</v>
      </c>
      <c r="C31" s="482">
        <f aca="true" t="shared" si="5" ref="C31:H31">SUM(C29:C30)</f>
        <v>0</v>
      </c>
      <c r="D31" s="482">
        <f t="shared" si="5"/>
        <v>185576</v>
      </c>
      <c r="E31" s="482">
        <f t="shared" si="5"/>
        <v>487589</v>
      </c>
      <c r="F31" s="482">
        <f t="shared" si="5"/>
        <v>0</v>
      </c>
      <c r="G31" s="482">
        <f t="shared" si="5"/>
        <v>0</v>
      </c>
      <c r="H31" s="483">
        <f t="shared" si="5"/>
        <v>673165</v>
      </c>
    </row>
    <row r="32" spans="1:8" s="188" customFormat="1" ht="20.25" customHeight="1" thickBot="1">
      <c r="A32" s="470" t="s">
        <v>193</v>
      </c>
      <c r="B32" s="471">
        <v>214020</v>
      </c>
      <c r="C32" s="484">
        <v>321</v>
      </c>
      <c r="D32" s="484">
        <v>0</v>
      </c>
      <c r="E32" s="484">
        <v>0</v>
      </c>
      <c r="F32" s="484">
        <v>0</v>
      </c>
      <c r="G32" s="484">
        <v>0</v>
      </c>
      <c r="H32" s="483">
        <f>SUM(C32:G32)</f>
        <v>321</v>
      </c>
    </row>
    <row r="33" spans="1:8" s="439" customFormat="1" ht="34.5" customHeight="1" thickBot="1">
      <c r="A33" s="904" t="s">
        <v>155</v>
      </c>
      <c r="B33" s="905"/>
      <c r="C33" s="437">
        <f aca="true" t="shared" si="6" ref="C33:H33">C9+C13+C22+C28+C31+C32</f>
        <v>227767</v>
      </c>
      <c r="D33" s="437">
        <f t="shared" si="6"/>
        <v>205082</v>
      </c>
      <c r="E33" s="437">
        <f t="shared" si="6"/>
        <v>551365</v>
      </c>
      <c r="F33" s="437">
        <f t="shared" si="6"/>
        <v>0</v>
      </c>
      <c r="G33" s="437">
        <f t="shared" si="6"/>
        <v>5404</v>
      </c>
      <c r="H33" s="438">
        <f t="shared" si="6"/>
        <v>989618</v>
      </c>
    </row>
    <row r="34" ht="12">
      <c r="A34" s="113" t="s">
        <v>457</v>
      </c>
    </row>
    <row r="35" spans="1:11" s="129" customFormat="1" ht="18" customHeight="1">
      <c r="A35" s="129" t="s">
        <v>184</v>
      </c>
      <c r="B35" s="127"/>
      <c r="C35" s="129" t="s">
        <v>185</v>
      </c>
      <c r="G35" s="899" t="s">
        <v>148</v>
      </c>
      <c r="H35" s="899"/>
      <c r="K35" s="185"/>
    </row>
    <row r="36" s="113" customFormat="1" ht="12" customHeight="1"/>
    <row r="37" s="113" customFormat="1" ht="12"/>
    <row r="38" s="113" customFormat="1" ht="12"/>
  </sheetData>
  <sheetProtection/>
  <mergeCells count="9">
    <mergeCell ref="G35:H35"/>
    <mergeCell ref="A2:H2"/>
    <mergeCell ref="A29:A31"/>
    <mergeCell ref="A33:B33"/>
    <mergeCell ref="A4:H4"/>
    <mergeCell ref="A6:A9"/>
    <mergeCell ref="A10:A13"/>
    <mergeCell ref="A14:A22"/>
    <mergeCell ref="A23:A28"/>
  </mergeCells>
  <printOptions horizontalCentered="1"/>
  <pageMargins left="0.7874015748031497" right="0.7874015748031497" top="0.984251968503937" bottom="0.984251968503937" header="0.7086614173228347" footer="0.31496062992125984"/>
  <pageSetup blackAndWhite="1" horizontalDpi="600" verticalDpi="600" orientation="landscape" paperSize="9" scale="75" r:id="rId1"/>
  <headerFooter alignWithMargins="0">
    <oddHeader>&amp;L&amp;"Arial CE,Tučné"&amp;12Kapitola: 314 - Ministerstvo vnitra&amp;R&amp;"Arial CE,Tučné"&amp;12Tabulky č. 13/3&amp;"Arial CE,Obyčejné"&amp;10
List č. 4/4</oddHeader>
    <oddFooter>&amp;C&amp;11&amp;P+136
&amp;12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workbookViewId="0" topLeftCell="A1">
      <selection activeCell="C50" sqref="C50"/>
    </sheetView>
  </sheetViews>
  <sheetFormatPr defaultColWidth="9.00390625" defaultRowHeight="12.75"/>
  <cols>
    <col min="1" max="1" width="4.00390625" style="659" customWidth="1"/>
    <col min="2" max="2" width="41.875" style="659" customWidth="1"/>
    <col min="3" max="3" width="19.00390625" style="660" customWidth="1"/>
    <col min="4" max="4" width="18.25390625" style="659" customWidth="1"/>
    <col min="5" max="5" width="7.00390625" style="659" customWidth="1"/>
    <col min="6" max="6" width="17.00390625" style="659" customWidth="1"/>
    <col min="7" max="7" width="7.875" style="659" customWidth="1"/>
    <col min="8" max="8" width="19.375" style="659" customWidth="1"/>
    <col min="9" max="9" width="6.875" style="659" customWidth="1"/>
    <col min="10" max="10" width="19.00390625" style="659" customWidth="1"/>
    <col min="11" max="11" width="8.25390625" style="659" bestFit="1" customWidth="1"/>
    <col min="12" max="16384" width="9.125" style="659" customWidth="1"/>
  </cols>
  <sheetData>
    <row r="1" spans="2:11" ht="15">
      <c r="B1" s="659" t="s">
        <v>126</v>
      </c>
      <c r="J1" s="917" t="s">
        <v>270</v>
      </c>
      <c r="K1" s="917"/>
    </row>
    <row r="2" spans="2:4" ht="18">
      <c r="B2" s="661"/>
      <c r="C2" s="662"/>
      <c r="D2" s="663"/>
    </row>
    <row r="3" spans="2:11" ht="18">
      <c r="B3" s="916" t="s">
        <v>235</v>
      </c>
      <c r="C3" s="916"/>
      <c r="D3" s="916"/>
      <c r="E3" s="916"/>
      <c r="F3" s="916"/>
      <c r="G3" s="916"/>
      <c r="H3" s="916"/>
      <c r="I3" s="916"/>
      <c r="J3" s="916"/>
      <c r="K3" s="916"/>
    </row>
    <row r="4" spans="2:11" ht="18.75" thickBot="1">
      <c r="B4" s="661"/>
      <c r="K4" s="664" t="s">
        <v>91</v>
      </c>
    </row>
    <row r="5" spans="2:11" ht="19.5" customHeight="1" thickBot="1">
      <c r="B5" s="665"/>
      <c r="C5" s="666" t="s">
        <v>236</v>
      </c>
      <c r="D5" s="667"/>
      <c r="E5" s="667"/>
      <c r="F5" s="667" t="s">
        <v>237</v>
      </c>
      <c r="G5" s="667"/>
      <c r="H5" s="667"/>
      <c r="I5" s="667"/>
      <c r="J5" s="667"/>
      <c r="K5" s="668"/>
    </row>
    <row r="6" spans="2:11" ht="13.5" thickBot="1">
      <c r="B6" s="669"/>
      <c r="C6" s="670" t="s">
        <v>238</v>
      </c>
      <c r="D6" s="671" t="s">
        <v>239</v>
      </c>
      <c r="E6" s="672"/>
      <c r="F6" s="671" t="s">
        <v>240</v>
      </c>
      <c r="G6" s="672"/>
      <c r="H6" s="671" t="s">
        <v>241</v>
      </c>
      <c r="I6" s="672"/>
      <c r="J6" s="671" t="s">
        <v>242</v>
      </c>
      <c r="K6" s="672"/>
    </row>
    <row r="7" spans="2:11" ht="13.5" thickBot="1">
      <c r="B7" s="673" t="s">
        <v>243</v>
      </c>
      <c r="C7" s="674"/>
      <c r="D7" s="675" t="s">
        <v>104</v>
      </c>
      <c r="E7" s="675" t="s">
        <v>244</v>
      </c>
      <c r="F7" s="675" t="s">
        <v>104</v>
      </c>
      <c r="G7" s="675" t="s">
        <v>245</v>
      </c>
      <c r="H7" s="676" t="s">
        <v>104</v>
      </c>
      <c r="I7" s="675" t="s">
        <v>245</v>
      </c>
      <c r="J7" s="676" t="s">
        <v>104</v>
      </c>
      <c r="K7" s="675" t="s">
        <v>245</v>
      </c>
    </row>
    <row r="8" spans="2:11" ht="12.75" hidden="1">
      <c r="B8" s="677" t="s">
        <v>246</v>
      </c>
      <c r="C8" s="678">
        <v>4948028.598</v>
      </c>
      <c r="D8" s="679">
        <v>778231.185</v>
      </c>
      <c r="E8" s="680">
        <f aca="true" t="shared" si="0" ref="E8:E39">D8*100/C8</f>
        <v>15.728106044386285</v>
      </c>
      <c r="F8" s="681">
        <f>1842735.199-D8</f>
        <v>1064504.014</v>
      </c>
      <c r="G8" s="682">
        <f aca="true" t="shared" si="1" ref="G8:G41">F8*100/C8</f>
        <v>21.51369970719801</v>
      </c>
      <c r="H8" s="681">
        <f>2919116.205-F8-D8</f>
        <v>1076381.006</v>
      </c>
      <c r="I8" s="682">
        <f aca="true" t="shared" si="2" ref="I8:I41">H8*100/C8</f>
        <v>21.75373453651975</v>
      </c>
      <c r="J8" s="681">
        <f>C8-D8-F8-H8</f>
        <v>2028912.3930000002</v>
      </c>
      <c r="K8" s="682">
        <f aca="true" t="shared" si="3" ref="K8:K44">J8*100/C8</f>
        <v>41.00445971189595</v>
      </c>
    </row>
    <row r="9" spans="2:11" ht="13.5" hidden="1" thickBot="1">
      <c r="B9" s="683" t="s">
        <v>247</v>
      </c>
      <c r="C9" s="684">
        <v>22710750.869</v>
      </c>
      <c r="D9" s="685">
        <v>3755907.325</v>
      </c>
      <c r="E9" s="686">
        <f t="shared" si="0"/>
        <v>16.538014734364353</v>
      </c>
      <c r="F9" s="684">
        <f>9088051.7-D9</f>
        <v>5332144.374999999</v>
      </c>
      <c r="G9" s="682">
        <f t="shared" si="1"/>
        <v>23.47850322411988</v>
      </c>
      <c r="H9" s="684">
        <f>14496902.038-F9-D9</f>
        <v>5408850.338000002</v>
      </c>
      <c r="I9" s="682">
        <f t="shared" si="2"/>
        <v>23.81625499394228</v>
      </c>
      <c r="J9" s="684">
        <f>C9-D9-F9-H9</f>
        <v>8213848.830999997</v>
      </c>
      <c r="K9" s="682">
        <f t="shared" si="3"/>
        <v>36.16722704757348</v>
      </c>
    </row>
    <row r="10" spans="2:11" ht="13.5" thickBot="1">
      <c r="B10" s="687" t="s">
        <v>248</v>
      </c>
      <c r="C10" s="688">
        <f>SUM(C8:C9)</f>
        <v>27658779.467</v>
      </c>
      <c r="D10" s="689">
        <f>SUM(D8:D9)</f>
        <v>4534138.51</v>
      </c>
      <c r="E10" s="690">
        <f t="shared" si="0"/>
        <v>16.393125789985532</v>
      </c>
      <c r="F10" s="688">
        <f>SUM(F8:F9)</f>
        <v>6396648.388999999</v>
      </c>
      <c r="G10" s="691">
        <f t="shared" si="1"/>
        <v>23.12700890012848</v>
      </c>
      <c r="H10" s="688">
        <f>SUM(H8:H9)</f>
        <v>6485231.344000002</v>
      </c>
      <c r="I10" s="691">
        <f t="shared" si="2"/>
        <v>23.447279558151163</v>
      </c>
      <c r="J10" s="688">
        <f>SUM(J8:J9)</f>
        <v>10242761.223999998</v>
      </c>
      <c r="K10" s="691">
        <f t="shared" si="3"/>
        <v>37.032585751734814</v>
      </c>
    </row>
    <row r="11" spans="2:11" ht="12.75">
      <c r="B11" s="692" t="s">
        <v>449</v>
      </c>
      <c r="C11" s="693">
        <f>14978552.577+868971.249</f>
        <v>15847523.826</v>
      </c>
      <c r="D11" s="694">
        <f>3542355.489+143265.812</f>
        <v>3685621.301</v>
      </c>
      <c r="E11" s="695">
        <f t="shared" si="0"/>
        <v>23.256764536004304</v>
      </c>
      <c r="F11" s="696">
        <f>7514968.3+339723.462-D11</f>
        <v>4169070.461</v>
      </c>
      <c r="G11" s="697">
        <f t="shared" si="1"/>
        <v>26.30739355103589</v>
      </c>
      <c r="H11" s="696">
        <f>10882966.712+513962.051-F11-D11</f>
        <v>3542237.001</v>
      </c>
      <c r="I11" s="697">
        <f t="shared" si="2"/>
        <v>22.351990379648353</v>
      </c>
      <c r="J11" s="696">
        <f>C11-D11-F11-H11</f>
        <v>4450595.062999998</v>
      </c>
      <c r="K11" s="697">
        <f t="shared" si="3"/>
        <v>28.08385153331145</v>
      </c>
    </row>
    <row r="12" spans="2:11" ht="13.5" thickBot="1">
      <c r="B12" s="698" t="s">
        <v>450</v>
      </c>
      <c r="C12" s="699">
        <v>123530.42</v>
      </c>
      <c r="D12" s="700">
        <v>4403.581</v>
      </c>
      <c r="E12" s="701">
        <f t="shared" si="0"/>
        <v>3.5647745713161183</v>
      </c>
      <c r="F12" s="699">
        <f>9650.377-D12</f>
        <v>5246.796</v>
      </c>
      <c r="G12" s="702">
        <f t="shared" si="1"/>
        <v>4.247371619071642</v>
      </c>
      <c r="H12" s="699">
        <f>18671.151-F12-D12</f>
        <v>9020.774000000001</v>
      </c>
      <c r="I12" s="702">
        <f t="shared" si="2"/>
        <v>7.3024717312545375</v>
      </c>
      <c r="J12" s="699">
        <f>C12-D12-F12-H12</f>
        <v>104859.26899999999</v>
      </c>
      <c r="K12" s="702">
        <f t="shared" si="3"/>
        <v>84.8853820783577</v>
      </c>
    </row>
    <row r="13" spans="2:11" ht="12.75">
      <c r="B13" s="692" t="s">
        <v>249</v>
      </c>
      <c r="C13" s="703">
        <v>714192.369</v>
      </c>
      <c r="D13" s="704">
        <v>168790.67</v>
      </c>
      <c r="E13" s="695">
        <f t="shared" si="0"/>
        <v>23.63378234303145</v>
      </c>
      <c r="F13" s="696">
        <f>298768.829-D13</f>
        <v>129978.15900000001</v>
      </c>
      <c r="G13" s="697">
        <f t="shared" si="1"/>
        <v>18.19932060909489</v>
      </c>
      <c r="H13" s="705">
        <f>443085.435-F13-D13</f>
        <v>144316.60599999994</v>
      </c>
      <c r="I13" s="697">
        <f t="shared" si="2"/>
        <v>20.206965554962398</v>
      </c>
      <c r="J13" s="696">
        <f>C13-D13-F13-H13</f>
        <v>271106.934</v>
      </c>
      <c r="K13" s="697">
        <f t="shared" si="3"/>
        <v>37.95993149291127</v>
      </c>
    </row>
    <row r="14" spans="2:11" ht="12.75">
      <c r="B14" s="683" t="s">
        <v>92</v>
      </c>
      <c r="C14" s="706">
        <v>6206676.325</v>
      </c>
      <c r="D14" s="707">
        <v>906000.193</v>
      </c>
      <c r="E14" s="686">
        <f t="shared" si="0"/>
        <v>14.597187698522363</v>
      </c>
      <c r="F14" s="708">
        <f>2280023.973-D14</f>
        <v>1374023.7800000003</v>
      </c>
      <c r="G14" s="682">
        <f t="shared" si="1"/>
        <v>22.137835260806842</v>
      </c>
      <c r="H14" s="708">
        <f>3724100.146-F14-D14</f>
        <v>1444076.173</v>
      </c>
      <c r="I14" s="682">
        <f t="shared" si="2"/>
        <v>23.26649719405176</v>
      </c>
      <c r="J14" s="696">
        <f>C14-D14-F14-H14</f>
        <v>2482576.179</v>
      </c>
      <c r="K14" s="682">
        <f t="shared" si="3"/>
        <v>39.998479846619034</v>
      </c>
    </row>
    <row r="15" spans="2:11" ht="13.5" thickBot="1">
      <c r="B15" s="709" t="s">
        <v>382</v>
      </c>
      <c r="C15" s="706">
        <v>23429.668</v>
      </c>
      <c r="D15" s="707">
        <v>3778.045</v>
      </c>
      <c r="E15" s="710">
        <f t="shared" si="0"/>
        <v>16.12504709840532</v>
      </c>
      <c r="F15" s="708">
        <f>8838.116-D15</f>
        <v>5060.071</v>
      </c>
      <c r="G15" s="711">
        <f t="shared" si="1"/>
        <v>21.596853186310618</v>
      </c>
      <c r="H15" s="708">
        <f>13547.728-F15-D15</f>
        <v>4709.611999999999</v>
      </c>
      <c r="I15" s="711">
        <f t="shared" si="2"/>
        <v>20.10106161128702</v>
      </c>
      <c r="J15" s="705">
        <f>C15-D15-F15-H15</f>
        <v>9881.94</v>
      </c>
      <c r="K15" s="711">
        <f t="shared" si="3"/>
        <v>42.177038103997035</v>
      </c>
    </row>
    <row r="16" spans="2:11" ht="13.5" thickBot="1">
      <c r="B16" s="687" t="s">
        <v>250</v>
      </c>
      <c r="C16" s="688">
        <f>SUM(C13:C15)</f>
        <v>6944298.362</v>
      </c>
      <c r="D16" s="689">
        <f>SUM(D13:D15)</f>
        <v>1078568.9079999998</v>
      </c>
      <c r="E16" s="690">
        <f t="shared" si="0"/>
        <v>15.531718998452789</v>
      </c>
      <c r="F16" s="712">
        <f>SUM(F13:F15)</f>
        <v>1509062.0100000002</v>
      </c>
      <c r="G16" s="691">
        <f t="shared" si="1"/>
        <v>21.730950073484188</v>
      </c>
      <c r="H16" s="712">
        <f>SUM(H13:H15)</f>
        <v>1593102.3909999998</v>
      </c>
      <c r="I16" s="691">
        <f t="shared" si="2"/>
        <v>22.941157017642556</v>
      </c>
      <c r="J16" s="712">
        <f>SUM(J13:J15)</f>
        <v>2763565.053</v>
      </c>
      <c r="K16" s="691">
        <f t="shared" si="3"/>
        <v>39.79617391042047</v>
      </c>
    </row>
    <row r="17" spans="2:11" ht="12.75">
      <c r="B17" s="692" t="s">
        <v>69</v>
      </c>
      <c r="C17" s="703">
        <v>108585.191</v>
      </c>
      <c r="D17" s="704">
        <v>18532.166</v>
      </c>
      <c r="E17" s="695">
        <f t="shared" si="0"/>
        <v>17.066936871713935</v>
      </c>
      <c r="F17" s="705">
        <f>46597.672-D17</f>
        <v>28065.505999999998</v>
      </c>
      <c r="G17" s="697">
        <f t="shared" si="1"/>
        <v>25.846531871919805</v>
      </c>
      <c r="H17" s="705">
        <f>69274.549-F17-D17</f>
        <v>22676.877000000004</v>
      </c>
      <c r="I17" s="697">
        <f t="shared" si="2"/>
        <v>20.88395000382695</v>
      </c>
      <c r="J17" s="696">
        <f aca="true" t="shared" si="4" ref="J17:J24">C17-D17-F17-H17</f>
        <v>39310.64200000001</v>
      </c>
      <c r="K17" s="697">
        <f t="shared" si="3"/>
        <v>36.20258125253931</v>
      </c>
    </row>
    <row r="18" spans="2:11" ht="12.75">
      <c r="B18" s="683" t="s">
        <v>251</v>
      </c>
      <c r="C18" s="706">
        <v>76465.015</v>
      </c>
      <c r="D18" s="707">
        <v>13526.387</v>
      </c>
      <c r="E18" s="686">
        <f t="shared" si="0"/>
        <v>17.68964146544665</v>
      </c>
      <c r="F18" s="708">
        <f>29477.617-D18</f>
        <v>15951.229999999998</v>
      </c>
      <c r="G18" s="682">
        <f t="shared" si="1"/>
        <v>20.860821121920917</v>
      </c>
      <c r="H18" s="708">
        <f>48448.218-F18-D18</f>
        <v>18970.601000000002</v>
      </c>
      <c r="I18" s="682">
        <f t="shared" si="2"/>
        <v>24.80951713669317</v>
      </c>
      <c r="J18" s="696">
        <f t="shared" si="4"/>
        <v>28016.797</v>
      </c>
      <c r="K18" s="682">
        <f t="shared" si="3"/>
        <v>36.640020275939264</v>
      </c>
    </row>
    <row r="19" spans="2:11" ht="12.75">
      <c r="B19" s="683" t="s">
        <v>252</v>
      </c>
      <c r="C19" s="706">
        <v>52914.243</v>
      </c>
      <c r="D19" s="707">
        <v>9592.478</v>
      </c>
      <c r="E19" s="686">
        <f t="shared" si="0"/>
        <v>18.12834778719219</v>
      </c>
      <c r="F19" s="708">
        <f>21861.856-D19</f>
        <v>12269.378</v>
      </c>
      <c r="G19" s="682">
        <f t="shared" si="1"/>
        <v>23.187288156045245</v>
      </c>
      <c r="H19" s="708">
        <f>33894.524-F19-D19</f>
        <v>12032.667999999998</v>
      </c>
      <c r="I19" s="682">
        <f t="shared" si="2"/>
        <v>22.739941682620305</v>
      </c>
      <c r="J19" s="696">
        <f t="shared" si="4"/>
        <v>19019.719</v>
      </c>
      <c r="K19" s="682">
        <f t="shared" si="3"/>
        <v>35.94442237414225</v>
      </c>
    </row>
    <row r="20" spans="2:11" ht="12.75">
      <c r="B20" s="683" t="s">
        <v>253</v>
      </c>
      <c r="C20" s="706">
        <v>68440.904</v>
      </c>
      <c r="D20" s="707">
        <v>11133.367</v>
      </c>
      <c r="E20" s="710">
        <f t="shared" si="0"/>
        <v>16.26712440852622</v>
      </c>
      <c r="F20" s="708">
        <f>27373.257-D20</f>
        <v>16239.890000000001</v>
      </c>
      <c r="G20" s="711">
        <f t="shared" si="1"/>
        <v>23.728339415271318</v>
      </c>
      <c r="H20" s="708">
        <f>42422.746-F20-D20</f>
        <v>15049.489</v>
      </c>
      <c r="I20" s="711">
        <f t="shared" si="2"/>
        <v>21.98902720513452</v>
      </c>
      <c r="J20" s="705">
        <f t="shared" si="4"/>
        <v>26018.157999999996</v>
      </c>
      <c r="K20" s="711">
        <f t="shared" si="3"/>
        <v>38.015508971067945</v>
      </c>
    </row>
    <row r="21" spans="2:11" ht="12.75">
      <c r="B21" s="683" t="s">
        <v>254</v>
      </c>
      <c r="C21" s="684">
        <v>58053.915</v>
      </c>
      <c r="D21" s="685">
        <v>9883.597</v>
      </c>
      <c r="E21" s="686">
        <f t="shared" si="0"/>
        <v>17.024858702466492</v>
      </c>
      <c r="F21" s="684">
        <f>23939.796-D21</f>
        <v>14056.198999999999</v>
      </c>
      <c r="G21" s="682">
        <f t="shared" si="1"/>
        <v>24.212318841890333</v>
      </c>
      <c r="H21" s="684">
        <f>38048.115-F21-D21</f>
        <v>14108.318999999998</v>
      </c>
      <c r="I21" s="682">
        <f t="shared" si="2"/>
        <v>24.302097455442922</v>
      </c>
      <c r="J21" s="684">
        <f t="shared" si="4"/>
        <v>20005.800000000003</v>
      </c>
      <c r="K21" s="682">
        <f t="shared" si="3"/>
        <v>34.46072500020025</v>
      </c>
    </row>
    <row r="22" spans="2:11" ht="12.75">
      <c r="B22" s="683" t="s">
        <v>255</v>
      </c>
      <c r="C22" s="713">
        <v>71724.453</v>
      </c>
      <c r="D22" s="685">
        <v>11921.672</v>
      </c>
      <c r="E22" s="686">
        <f t="shared" si="0"/>
        <v>16.621488908392234</v>
      </c>
      <c r="F22" s="684">
        <f>26542.401-D22</f>
        <v>14620.729000000001</v>
      </c>
      <c r="G22" s="682">
        <f t="shared" si="1"/>
        <v>20.384580695233748</v>
      </c>
      <c r="H22" s="684">
        <f>42043.154-F22-D22</f>
        <v>15500.753000000002</v>
      </c>
      <c r="I22" s="682">
        <f t="shared" si="2"/>
        <v>21.61153184395844</v>
      </c>
      <c r="J22" s="696">
        <f t="shared" si="4"/>
        <v>29681.29899999999</v>
      </c>
      <c r="K22" s="682">
        <f t="shared" si="3"/>
        <v>41.38239855241558</v>
      </c>
    </row>
    <row r="23" spans="2:11" ht="12.75">
      <c r="B23" s="683" t="s">
        <v>256</v>
      </c>
      <c r="C23" s="713">
        <v>111475.292</v>
      </c>
      <c r="D23" s="685">
        <v>18777.136</v>
      </c>
      <c r="E23" s="686">
        <f t="shared" si="0"/>
        <v>16.844213334736093</v>
      </c>
      <c r="F23" s="684">
        <f>44621.388-D23</f>
        <v>25844.252</v>
      </c>
      <c r="G23" s="682">
        <f t="shared" si="1"/>
        <v>23.183838800799016</v>
      </c>
      <c r="H23" s="684">
        <f>71295.693-F23-D23</f>
        <v>26674.305</v>
      </c>
      <c r="I23" s="682">
        <f t="shared" si="2"/>
        <v>23.928445955539637</v>
      </c>
      <c r="J23" s="696">
        <f t="shared" si="4"/>
        <v>40179.59900000001</v>
      </c>
      <c r="K23" s="682">
        <f t="shared" si="3"/>
        <v>36.04350190892526</v>
      </c>
    </row>
    <row r="24" spans="2:11" ht="13.5" thickBot="1">
      <c r="B24" s="714" t="s">
        <v>257</v>
      </c>
      <c r="C24" s="706">
        <v>94713.182</v>
      </c>
      <c r="D24" s="707">
        <v>16783.72</v>
      </c>
      <c r="E24" s="710">
        <f t="shared" si="0"/>
        <v>17.720574523618055</v>
      </c>
      <c r="F24" s="708">
        <f>38258.949-D24</f>
        <v>21475.229</v>
      </c>
      <c r="G24" s="711">
        <f t="shared" si="1"/>
        <v>22.67395999851425</v>
      </c>
      <c r="H24" s="708">
        <f>61068.145-F24-D24</f>
        <v>22809.195999999996</v>
      </c>
      <c r="I24" s="711">
        <f t="shared" si="2"/>
        <v>24.08238802493194</v>
      </c>
      <c r="J24" s="705">
        <f t="shared" si="4"/>
        <v>33645.037000000004</v>
      </c>
      <c r="K24" s="711">
        <f t="shared" si="3"/>
        <v>35.52307745293575</v>
      </c>
    </row>
    <row r="25" spans="2:11" ht="13.5" thickBot="1">
      <c r="B25" s="687" t="s">
        <v>258</v>
      </c>
      <c r="C25" s="688">
        <f>SUM(C17:C24)</f>
        <v>642372.195</v>
      </c>
      <c r="D25" s="689">
        <f>SUM(D17:D24)</f>
        <v>110150.523</v>
      </c>
      <c r="E25" s="690">
        <f t="shared" si="0"/>
        <v>17.14746121600111</v>
      </c>
      <c r="F25" s="712">
        <f>SUM(F17:F24)</f>
        <v>148522.413</v>
      </c>
      <c r="G25" s="691">
        <f t="shared" si="1"/>
        <v>23.12092804701798</v>
      </c>
      <c r="H25" s="712">
        <f>SUM(H17:H24)</f>
        <v>147822.20799999998</v>
      </c>
      <c r="I25" s="691">
        <f t="shared" si="2"/>
        <v>23.011925041369512</v>
      </c>
      <c r="J25" s="712">
        <f>SUM(J17:J24)</f>
        <v>235877.05100000004</v>
      </c>
      <c r="K25" s="691">
        <f t="shared" si="3"/>
        <v>36.71968569561142</v>
      </c>
    </row>
    <row r="26" spans="2:11" ht="12.75">
      <c r="B26" s="692" t="s">
        <v>137</v>
      </c>
      <c r="C26" s="693">
        <v>197254.708</v>
      </c>
      <c r="D26" s="694">
        <v>34366.051</v>
      </c>
      <c r="E26" s="695">
        <f t="shared" si="0"/>
        <v>17.422170222674737</v>
      </c>
      <c r="F26" s="696">
        <f>87716.787-D26</f>
        <v>53350.736</v>
      </c>
      <c r="G26" s="697">
        <f t="shared" si="1"/>
        <v>27.04662238023743</v>
      </c>
      <c r="H26" s="696">
        <f>129540.324-F26-D26</f>
        <v>41823.53699999999</v>
      </c>
      <c r="I26" s="697">
        <f t="shared" si="2"/>
        <v>21.202807995842605</v>
      </c>
      <c r="J26" s="696">
        <f aca="true" t="shared" si="5" ref="J26:J33">C26-D26-F26-H26</f>
        <v>67714.38400000002</v>
      </c>
      <c r="K26" s="697">
        <f t="shared" si="3"/>
        <v>34.32839940124523</v>
      </c>
    </row>
    <row r="27" spans="2:11" ht="12.75">
      <c r="B27" s="683" t="s">
        <v>138</v>
      </c>
      <c r="C27" s="713">
        <v>128735.437</v>
      </c>
      <c r="D27" s="685">
        <v>21605.671</v>
      </c>
      <c r="E27" s="686">
        <f t="shared" si="0"/>
        <v>16.78300202608548</v>
      </c>
      <c r="F27" s="684">
        <f>48778.367-D27</f>
        <v>27172.696</v>
      </c>
      <c r="G27" s="682">
        <f t="shared" si="1"/>
        <v>21.107394073630246</v>
      </c>
      <c r="H27" s="684">
        <f>78328.454-F27-D27</f>
        <v>29550.087000000003</v>
      </c>
      <c r="I27" s="682">
        <f t="shared" si="2"/>
        <v>22.95412023963534</v>
      </c>
      <c r="J27" s="696">
        <f t="shared" si="5"/>
        <v>50406.98300000001</v>
      </c>
      <c r="K27" s="682">
        <f t="shared" si="3"/>
        <v>39.15548366064893</v>
      </c>
    </row>
    <row r="28" spans="2:11" ht="12.75">
      <c r="B28" s="683" t="s">
        <v>139</v>
      </c>
      <c r="C28" s="693">
        <v>163528.293</v>
      </c>
      <c r="D28" s="694">
        <v>27404.652</v>
      </c>
      <c r="E28" s="686">
        <f t="shared" si="0"/>
        <v>16.758355081710537</v>
      </c>
      <c r="F28" s="696">
        <f>62853.181-D28</f>
        <v>35448.528999999995</v>
      </c>
      <c r="G28" s="682">
        <f t="shared" si="1"/>
        <v>21.677306323988837</v>
      </c>
      <c r="H28" s="696">
        <f>97184.236-F28-D28</f>
        <v>34331.05500000001</v>
      </c>
      <c r="I28" s="682">
        <f t="shared" si="2"/>
        <v>20.993954238854563</v>
      </c>
      <c r="J28" s="696">
        <f t="shared" si="5"/>
        <v>66344.057</v>
      </c>
      <c r="K28" s="682">
        <f t="shared" si="3"/>
        <v>40.570384355446066</v>
      </c>
    </row>
    <row r="29" spans="2:11" ht="12.75">
      <c r="B29" s="683" t="s">
        <v>140</v>
      </c>
      <c r="C29" s="713">
        <v>50443.184</v>
      </c>
      <c r="D29" s="685">
        <v>8786.01</v>
      </c>
      <c r="E29" s="686">
        <f t="shared" si="0"/>
        <v>17.417635651230896</v>
      </c>
      <c r="F29" s="684">
        <f>19940.585-D29</f>
        <v>11154.574999999999</v>
      </c>
      <c r="G29" s="682">
        <f t="shared" si="1"/>
        <v>22.1131461487443</v>
      </c>
      <c r="H29" s="684">
        <f>31785.667-F29-D29</f>
        <v>11845.082000000004</v>
      </c>
      <c r="I29" s="682">
        <f t="shared" si="2"/>
        <v>23.48202682844129</v>
      </c>
      <c r="J29" s="696">
        <f t="shared" si="5"/>
        <v>18657.517</v>
      </c>
      <c r="K29" s="682">
        <f t="shared" si="3"/>
        <v>36.98719137158352</v>
      </c>
    </row>
    <row r="30" spans="2:11" ht="12.75">
      <c r="B30" s="683" t="s">
        <v>141</v>
      </c>
      <c r="C30" s="703">
        <v>65550.437</v>
      </c>
      <c r="D30" s="704">
        <v>8021.624</v>
      </c>
      <c r="E30" s="710">
        <f t="shared" si="0"/>
        <v>12.237331079882807</v>
      </c>
      <c r="F30" s="705">
        <f>20585.211-D30</f>
        <v>12563.587</v>
      </c>
      <c r="G30" s="711">
        <f t="shared" si="1"/>
        <v>19.166290226257377</v>
      </c>
      <c r="H30" s="705">
        <f>33401.179-F30-D30</f>
        <v>12815.967999999997</v>
      </c>
      <c r="I30" s="682">
        <f t="shared" si="2"/>
        <v>19.551308254436194</v>
      </c>
      <c r="J30" s="696">
        <f t="shared" si="5"/>
        <v>32149.258000000013</v>
      </c>
      <c r="K30" s="682">
        <f t="shared" si="3"/>
        <v>49.04507043942363</v>
      </c>
    </row>
    <row r="31" spans="2:11" ht="12.75">
      <c r="B31" s="714" t="s">
        <v>259</v>
      </c>
      <c r="C31" s="706">
        <v>21462.581</v>
      </c>
      <c r="D31" s="707">
        <v>3204.728</v>
      </c>
      <c r="E31" s="710">
        <f t="shared" si="0"/>
        <v>14.931699034706032</v>
      </c>
      <c r="F31" s="708">
        <f>8043.891-D31</f>
        <v>4839.163</v>
      </c>
      <c r="G31" s="711">
        <f t="shared" si="1"/>
        <v>22.54697606033496</v>
      </c>
      <c r="H31" s="708">
        <f>13517.903-F31-D31</f>
        <v>5474.0120000000015</v>
      </c>
      <c r="I31" s="711">
        <f t="shared" si="2"/>
        <v>25.504910150368225</v>
      </c>
      <c r="J31" s="705">
        <f t="shared" si="5"/>
        <v>7944.677999999997</v>
      </c>
      <c r="K31" s="711">
        <f t="shared" si="3"/>
        <v>37.016414754590784</v>
      </c>
    </row>
    <row r="32" spans="2:11" ht="12.75">
      <c r="B32" s="852" t="s">
        <v>70</v>
      </c>
      <c r="C32" s="713">
        <v>220198.434</v>
      </c>
      <c r="D32" s="685">
        <v>41436.194</v>
      </c>
      <c r="E32" s="715">
        <f t="shared" si="0"/>
        <v>18.8176606196936</v>
      </c>
      <c r="F32" s="716">
        <f>93925.463-D32</f>
        <v>52489.269</v>
      </c>
      <c r="G32" s="717">
        <f t="shared" si="1"/>
        <v>23.8372580796828</v>
      </c>
      <c r="H32" s="716">
        <f>139233.162-F32-D32</f>
        <v>45307.69900000001</v>
      </c>
      <c r="I32" s="717">
        <f t="shared" si="2"/>
        <v>20.575849781020697</v>
      </c>
      <c r="J32" s="716">
        <f t="shared" si="5"/>
        <v>80965.27199999998</v>
      </c>
      <c r="K32" s="717">
        <f t="shared" si="3"/>
        <v>36.7692315196029</v>
      </c>
    </row>
    <row r="33" spans="2:11" ht="13.5" thickBot="1">
      <c r="B33" s="718" t="s">
        <v>260</v>
      </c>
      <c r="C33" s="706">
        <v>13293.112</v>
      </c>
      <c r="D33" s="700">
        <v>2576.477</v>
      </c>
      <c r="E33" s="719">
        <f t="shared" si="0"/>
        <v>19.38204537808754</v>
      </c>
      <c r="F33" s="720">
        <f>5514.132-D33</f>
        <v>2937.6549999999997</v>
      </c>
      <c r="G33" s="721">
        <f t="shared" si="1"/>
        <v>22.09907657439432</v>
      </c>
      <c r="H33" s="720">
        <f>8399.262-F33-D33</f>
        <v>2885.130000000001</v>
      </c>
      <c r="I33" s="721">
        <f t="shared" si="2"/>
        <v>21.703947126903024</v>
      </c>
      <c r="J33" s="716">
        <f t="shared" si="5"/>
        <v>4893.849999999998</v>
      </c>
      <c r="K33" s="721">
        <f t="shared" si="3"/>
        <v>36.81493092061511</v>
      </c>
    </row>
    <row r="34" spans="2:11" ht="13.5" thickBot="1">
      <c r="B34" s="687" t="s">
        <v>261</v>
      </c>
      <c r="C34" s="712">
        <f>SUM(C26:C33)</f>
        <v>860466.186</v>
      </c>
      <c r="D34" s="689">
        <f>SUM(D26:D33)</f>
        <v>147401.407</v>
      </c>
      <c r="E34" s="722">
        <f t="shared" si="0"/>
        <v>17.130412490142874</v>
      </c>
      <c r="F34" s="712">
        <f>SUM(F26:F33)</f>
        <v>199956.21</v>
      </c>
      <c r="G34" s="723">
        <f t="shared" si="1"/>
        <v>23.238125245749053</v>
      </c>
      <c r="H34" s="712">
        <f>SUM(H26:H33)</f>
        <v>184032.57</v>
      </c>
      <c r="I34" s="723">
        <f t="shared" si="2"/>
        <v>21.387542357184504</v>
      </c>
      <c r="J34" s="712">
        <f>SUM(J26:J33)</f>
        <v>329075.99899999995</v>
      </c>
      <c r="K34" s="723">
        <f t="shared" si="3"/>
        <v>38.243919906923566</v>
      </c>
    </row>
    <row r="35" spans="2:11" ht="12.75">
      <c r="B35" s="677" t="s">
        <v>451</v>
      </c>
      <c r="C35" s="724">
        <v>259610.713</v>
      </c>
      <c r="D35" s="725">
        <v>48174.193</v>
      </c>
      <c r="E35" s="726">
        <f t="shared" si="0"/>
        <v>18.55631936113515</v>
      </c>
      <c r="F35" s="727">
        <f>110249.895-D35</f>
        <v>62075.702000000005</v>
      </c>
      <c r="G35" s="728">
        <f t="shared" si="1"/>
        <v>23.91107103503853</v>
      </c>
      <c r="H35" s="727">
        <f>172514.958-F35-D35</f>
        <v>62265.06300000001</v>
      </c>
      <c r="I35" s="728">
        <f t="shared" si="2"/>
        <v>23.984011399406313</v>
      </c>
      <c r="J35" s="727">
        <f aca="true" t="shared" si="6" ref="J35:J42">C35-D35-F35-H35</f>
        <v>87095.75499999996</v>
      </c>
      <c r="K35" s="728">
        <f t="shared" si="3"/>
        <v>33.54859820442</v>
      </c>
    </row>
    <row r="36" spans="2:11" ht="12.75">
      <c r="B36" s="683" t="s">
        <v>27</v>
      </c>
      <c r="C36" s="713">
        <v>183706.724</v>
      </c>
      <c r="D36" s="685">
        <v>27385.774</v>
      </c>
      <c r="E36" s="715">
        <f t="shared" si="0"/>
        <v>14.907333495316154</v>
      </c>
      <c r="F36" s="716">
        <f>64097.608-D36</f>
        <v>36711.834</v>
      </c>
      <c r="G36" s="717">
        <f t="shared" si="1"/>
        <v>19.983935917337465</v>
      </c>
      <c r="H36" s="716">
        <f>106539.183-F36-D36</f>
        <v>42441.575</v>
      </c>
      <c r="I36" s="717">
        <f t="shared" si="2"/>
        <v>23.10289687600112</v>
      </c>
      <c r="J36" s="716">
        <f t="shared" si="6"/>
        <v>77167.54099999998</v>
      </c>
      <c r="K36" s="717">
        <f t="shared" si="3"/>
        <v>42.00583371134526</v>
      </c>
    </row>
    <row r="37" spans="2:11" ht="13.5" thickBot="1">
      <c r="B37" s="698" t="s">
        <v>28</v>
      </c>
      <c r="C37" s="729">
        <v>213442.832</v>
      </c>
      <c r="D37" s="700">
        <v>33447.235</v>
      </c>
      <c r="E37" s="730">
        <f t="shared" si="0"/>
        <v>15.6703482082734</v>
      </c>
      <c r="F37" s="720">
        <f>83394.918-D37</f>
        <v>49947.683000000005</v>
      </c>
      <c r="G37" s="721">
        <f t="shared" si="1"/>
        <v>23.400965275798068</v>
      </c>
      <c r="H37" s="720">
        <f>132384.1-F37-D37</f>
        <v>48989.182</v>
      </c>
      <c r="I37" s="721">
        <f t="shared" si="2"/>
        <v>22.95189842683497</v>
      </c>
      <c r="J37" s="720">
        <f t="shared" si="6"/>
        <v>81058.732</v>
      </c>
      <c r="K37" s="721">
        <f t="shared" si="3"/>
        <v>37.976788089093574</v>
      </c>
    </row>
    <row r="38" spans="2:11" ht="12.75">
      <c r="B38" s="692" t="s">
        <v>446</v>
      </c>
      <c r="C38" s="693">
        <v>664314.991</v>
      </c>
      <c r="D38" s="694">
        <v>123317</v>
      </c>
      <c r="E38" s="731">
        <f t="shared" si="0"/>
        <v>18.563031343665703</v>
      </c>
      <c r="F38" s="732">
        <f>238438-D38</f>
        <v>115121</v>
      </c>
      <c r="G38" s="733">
        <f t="shared" si="1"/>
        <v>17.329279266558054</v>
      </c>
      <c r="H38" s="732">
        <f>411952-F38-D38</f>
        <v>173514</v>
      </c>
      <c r="I38" s="733">
        <f t="shared" si="2"/>
        <v>26.119235957449586</v>
      </c>
      <c r="J38" s="732">
        <f t="shared" si="6"/>
        <v>252362.99100000004</v>
      </c>
      <c r="K38" s="733">
        <f t="shared" si="3"/>
        <v>37.98845343232666</v>
      </c>
    </row>
    <row r="39" spans="2:11" ht="12.75">
      <c r="B39" s="683" t="s">
        <v>447</v>
      </c>
      <c r="C39" s="706">
        <v>34904.17</v>
      </c>
      <c r="D39" s="707">
        <v>7908</v>
      </c>
      <c r="E39" s="686">
        <f t="shared" si="0"/>
        <v>22.656318714927185</v>
      </c>
      <c r="F39" s="708">
        <f>18260-D39</f>
        <v>10352</v>
      </c>
      <c r="G39" s="682">
        <f t="shared" si="1"/>
        <v>29.658347412357895</v>
      </c>
      <c r="H39" s="708">
        <f>25786-F39-D39</f>
        <v>7526</v>
      </c>
      <c r="I39" s="682">
        <f t="shared" si="2"/>
        <v>21.56189360755463</v>
      </c>
      <c r="J39" s="696">
        <f t="shared" si="6"/>
        <v>9118.169999999998</v>
      </c>
      <c r="K39" s="682">
        <f t="shared" si="3"/>
        <v>26.12344026516029</v>
      </c>
    </row>
    <row r="40" spans="2:11" ht="12.75" hidden="1">
      <c r="B40" s="683" t="s">
        <v>262</v>
      </c>
      <c r="C40" s="706">
        <v>0</v>
      </c>
      <c r="D40" s="707">
        <v>0</v>
      </c>
      <c r="E40" s="686">
        <v>0</v>
      </c>
      <c r="F40" s="708">
        <v>0</v>
      </c>
      <c r="G40" s="682" t="e">
        <f t="shared" si="1"/>
        <v>#DIV/0!</v>
      </c>
      <c r="H40" s="708">
        <v>0</v>
      </c>
      <c r="I40" s="682" t="e">
        <f t="shared" si="2"/>
        <v>#DIV/0!</v>
      </c>
      <c r="J40" s="696">
        <f t="shared" si="6"/>
        <v>0</v>
      </c>
      <c r="K40" s="682" t="e">
        <f t="shared" si="3"/>
        <v>#DIV/0!</v>
      </c>
    </row>
    <row r="41" spans="2:11" ht="12.75">
      <c r="B41" s="683" t="s">
        <v>263</v>
      </c>
      <c r="C41" s="706">
        <v>16771</v>
      </c>
      <c r="D41" s="707">
        <v>4086</v>
      </c>
      <c r="E41" s="719">
        <f>D41*100/C41</f>
        <v>24.363484586488582</v>
      </c>
      <c r="F41" s="708">
        <f>8097-D41</f>
        <v>4011</v>
      </c>
      <c r="G41" s="734">
        <f t="shared" si="1"/>
        <v>23.9162840617733</v>
      </c>
      <c r="H41" s="708">
        <f>12105-F41-D41</f>
        <v>4008</v>
      </c>
      <c r="I41" s="734">
        <f t="shared" si="2"/>
        <v>23.89839604078469</v>
      </c>
      <c r="J41" s="705">
        <f t="shared" si="6"/>
        <v>4666</v>
      </c>
      <c r="K41" s="734">
        <f t="shared" si="3"/>
        <v>27.821835310953432</v>
      </c>
    </row>
    <row r="42" spans="2:11" ht="13.5" thickBot="1">
      <c r="B42" s="714" t="s">
        <v>448</v>
      </c>
      <c r="C42" s="708">
        <v>60258.045</v>
      </c>
      <c r="D42" s="707">
        <v>9652</v>
      </c>
      <c r="E42" s="719">
        <v>0</v>
      </c>
      <c r="F42" s="708">
        <f>19175-D42</f>
        <v>9523</v>
      </c>
      <c r="G42" s="734">
        <v>0</v>
      </c>
      <c r="H42" s="708">
        <f>28959-F42-D42</f>
        <v>9784</v>
      </c>
      <c r="I42" s="734">
        <v>0</v>
      </c>
      <c r="J42" s="708">
        <f t="shared" si="6"/>
        <v>31299.045</v>
      </c>
      <c r="K42" s="734">
        <f t="shared" si="3"/>
        <v>51.941686790535606</v>
      </c>
    </row>
    <row r="43" spans="2:11" ht="13.5" thickBot="1">
      <c r="B43" s="687" t="s">
        <v>264</v>
      </c>
      <c r="C43" s="688">
        <f>SUM(C38:C42)</f>
        <v>776248.2060000001</v>
      </c>
      <c r="D43" s="689">
        <f>SUM(D38:D42)</f>
        <v>144963</v>
      </c>
      <c r="E43" s="722">
        <f>D43*100/C43</f>
        <v>18.67482576829298</v>
      </c>
      <c r="F43" s="712">
        <f>SUM(F38:F42)</f>
        <v>139007</v>
      </c>
      <c r="G43" s="735">
        <f>F43*100/C43</f>
        <v>17.907545412092066</v>
      </c>
      <c r="H43" s="712">
        <f>SUM(H38:H42)</f>
        <v>194832</v>
      </c>
      <c r="I43" s="735">
        <f>H43*100/C43</f>
        <v>25.099188441795892</v>
      </c>
      <c r="J43" s="712">
        <f>SUM(J38:J42)</f>
        <v>297446.206</v>
      </c>
      <c r="K43" s="735">
        <f t="shared" si="3"/>
        <v>38.318440377819044</v>
      </c>
    </row>
    <row r="44" spans="2:11" ht="13.5" thickBot="1">
      <c r="B44" s="736" t="s">
        <v>265</v>
      </c>
      <c r="C44" s="737">
        <f>C10+C11+C12+C16+C25+C34+C35+C36+C37+C43</f>
        <v>53509978.931</v>
      </c>
      <c r="D44" s="737">
        <f>D10+D11+D12+D16+D25+D34+D35+D36+D37+D43</f>
        <v>9814254.432</v>
      </c>
      <c r="E44" s="738">
        <f>D44*100/C44</f>
        <v>18.34097980986925</v>
      </c>
      <c r="F44" s="737">
        <f>F10+F11+F12+F16+F25+F34+F35+F36+F37+F43</f>
        <v>12716248.498</v>
      </c>
      <c r="G44" s="739">
        <f>F44*100/C44</f>
        <v>23.764256222932428</v>
      </c>
      <c r="H44" s="737">
        <f>H10+H11+H12+H16+H25+H34+H35+H36+H37+H43</f>
        <v>12309974.108000001</v>
      </c>
      <c r="I44" s="739">
        <f>H44*100/C44</f>
        <v>23.005006456596547</v>
      </c>
      <c r="J44" s="737">
        <f>J10+J11+J12+J16+J25+J34+J35+J36+J37+J43</f>
        <v>18669501.893</v>
      </c>
      <c r="K44" s="739">
        <f t="shared" si="3"/>
        <v>34.889757510601775</v>
      </c>
    </row>
    <row r="45" spans="2:11" ht="12.75">
      <c r="B45" s="740"/>
      <c r="C45" s="741"/>
      <c r="D45" s="741"/>
      <c r="E45" s="742"/>
      <c r="F45" s="741"/>
      <c r="G45" s="742"/>
      <c r="H45" s="741"/>
      <c r="I45" s="742"/>
      <c r="J45" s="741"/>
      <c r="K45" s="742"/>
    </row>
    <row r="46" spans="2:11" ht="12.75" hidden="1">
      <c r="B46" s="743"/>
      <c r="C46" s="741"/>
      <c r="D46" s="741">
        <f>D44</f>
        <v>9814254.432</v>
      </c>
      <c r="E46" s="742"/>
      <c r="F46" s="741">
        <f>D44+F44</f>
        <v>22530502.93</v>
      </c>
      <c r="G46" s="742"/>
      <c r="H46" s="741">
        <f>D44+F44+H44</f>
        <v>34840477.038</v>
      </c>
      <c r="I46" s="742"/>
      <c r="J46" s="741">
        <f>D44+F44+H44+J44</f>
        <v>53509978.931</v>
      </c>
      <c r="K46" s="742"/>
    </row>
    <row r="47" spans="2:11" ht="12.75">
      <c r="B47" s="744" t="s">
        <v>266</v>
      </c>
      <c r="C47" s="741"/>
      <c r="D47" s="741"/>
      <c r="E47" s="742"/>
      <c r="F47" s="741"/>
      <c r="G47" s="742"/>
      <c r="H47" s="741"/>
      <c r="I47" s="742"/>
      <c r="J47" s="741"/>
      <c r="K47" s="742"/>
    </row>
    <row r="48" ht="12.75">
      <c r="B48" s="745" t="s">
        <v>267</v>
      </c>
    </row>
    <row r="49" ht="12.75">
      <c r="B49" s="659" t="s">
        <v>268</v>
      </c>
    </row>
    <row r="50" spans="4:10" ht="12.75">
      <c r="D50" s="746"/>
      <c r="E50" s="746"/>
      <c r="F50" s="746"/>
      <c r="G50" s="746"/>
      <c r="H50" s="746"/>
      <c r="I50" s="746"/>
      <c r="J50" s="746"/>
    </row>
    <row r="51" spans="2:11" ht="12.75">
      <c r="B51" s="747" t="s">
        <v>269</v>
      </c>
      <c r="F51" s="659" t="s">
        <v>147</v>
      </c>
      <c r="J51" s="915" t="s">
        <v>148</v>
      </c>
      <c r="K51" s="915"/>
    </row>
  </sheetData>
  <mergeCells count="3">
    <mergeCell ref="J51:K51"/>
    <mergeCell ref="B3:K3"/>
    <mergeCell ref="J1:K1"/>
  </mergeCells>
  <printOptions horizontalCentered="1"/>
  <pageMargins left="0.984251968503937" right="0.7874015748031497" top="0.984251968503937" bottom="0.984251968503937" header="0.7086614173228347" footer="0.31496062992125984"/>
  <pageSetup fitToHeight="1" fitToWidth="1" horizontalDpi="600" verticalDpi="600" orientation="landscape" paperSize="9" scale="73" r:id="rId1"/>
  <headerFooter alignWithMargins="0">
    <oddHeader>&amp;C
</oddHeader>
    <oddFooter>&amp;C&amp;P+137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zoomScale="65" zoomScaleNormal="65" workbookViewId="0" topLeftCell="A1">
      <selection activeCell="F1" sqref="F1"/>
    </sheetView>
  </sheetViews>
  <sheetFormatPr defaultColWidth="9.00390625" defaultRowHeight="12.75"/>
  <cols>
    <col min="1" max="1" width="26.375" style="88" customWidth="1"/>
    <col min="2" max="2" width="13.75390625" style="88" customWidth="1"/>
    <col min="3" max="3" width="13.875" style="88" customWidth="1"/>
    <col min="4" max="4" width="15.75390625" style="133" customWidth="1"/>
    <col min="5" max="5" width="13.75390625" style="88" customWidth="1"/>
    <col min="6" max="6" width="13.875" style="88" customWidth="1"/>
    <col min="7" max="7" width="15.00390625" style="88" customWidth="1"/>
    <col min="8" max="8" width="11.875" style="88" customWidth="1"/>
    <col min="9" max="9" width="12.125" style="88" customWidth="1"/>
    <col min="10" max="10" width="15.00390625" style="88" customWidth="1"/>
    <col min="11" max="11" width="13.875" style="88" customWidth="1"/>
    <col min="12" max="12" width="13.75390625" style="88" customWidth="1"/>
    <col min="13" max="13" width="16.75390625" style="88" customWidth="1"/>
    <col min="14" max="15" width="13.75390625" style="88" customWidth="1"/>
    <col min="16" max="16" width="15.625" style="88" customWidth="1"/>
    <col min="17" max="18" width="12.00390625" style="88" hidden="1" customWidth="1"/>
    <col min="19" max="19" width="15.625" style="88" hidden="1" customWidth="1"/>
    <col min="20" max="21" width="11.125" style="88" customWidth="1"/>
    <col min="22" max="22" width="12.375" style="88" customWidth="1"/>
    <col min="23" max="24" width="9.625" style="88" customWidth="1"/>
    <col min="25" max="25" width="9.375" style="88" customWidth="1"/>
    <col min="26" max="27" width="13.75390625" style="88" customWidth="1"/>
    <col min="28" max="28" width="15.625" style="88" customWidth="1"/>
    <col min="29" max="29" width="9.125" style="88" customWidth="1"/>
    <col min="30" max="30" width="10.75390625" style="88" bestFit="1" customWidth="1"/>
    <col min="31" max="16384" width="9.125" style="88" customWidth="1"/>
  </cols>
  <sheetData>
    <row r="1" spans="1:28" s="493" customFormat="1" ht="24.75" customHeight="1">
      <c r="A1" s="486" t="s">
        <v>126</v>
      </c>
      <c r="D1" s="494"/>
      <c r="N1" s="495"/>
      <c r="AA1" s="921" t="s">
        <v>127</v>
      </c>
      <c r="AB1" s="921"/>
    </row>
    <row r="3" spans="1:28" s="131" customFormat="1" ht="35.25" customHeight="1">
      <c r="A3" s="922" t="s">
        <v>383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  <c r="X3" s="922"/>
      <c r="Y3" s="922"/>
      <c r="Z3" s="922"/>
      <c r="AA3" s="922"/>
      <c r="AB3" s="922"/>
    </row>
    <row r="4" spans="1:28" ht="47.25" customHeight="1" thickBot="1">
      <c r="A4" s="132"/>
      <c r="P4" s="134"/>
      <c r="Q4" s="134"/>
      <c r="R4" s="134"/>
      <c r="S4" s="134"/>
      <c r="AB4" s="496" t="s">
        <v>91</v>
      </c>
    </row>
    <row r="5" spans="1:28" s="135" customFormat="1" ht="41.25" customHeight="1" thickBot="1">
      <c r="A5" s="923" t="s">
        <v>92</v>
      </c>
      <c r="B5" s="918" t="s">
        <v>93</v>
      </c>
      <c r="C5" s="919"/>
      <c r="D5" s="920"/>
      <c r="E5" s="918" t="s">
        <v>94</v>
      </c>
      <c r="F5" s="919"/>
      <c r="G5" s="920"/>
      <c r="H5" s="166" t="s">
        <v>95</v>
      </c>
      <c r="I5" s="167"/>
      <c r="J5" s="168"/>
      <c r="K5" s="166" t="s">
        <v>96</v>
      </c>
      <c r="L5" s="167"/>
      <c r="M5" s="168"/>
      <c r="N5" s="918" t="s">
        <v>97</v>
      </c>
      <c r="O5" s="919"/>
      <c r="P5" s="919"/>
      <c r="Q5" s="918" t="s">
        <v>98</v>
      </c>
      <c r="R5" s="919"/>
      <c r="S5" s="920"/>
      <c r="T5" s="918" t="s">
        <v>99</v>
      </c>
      <c r="U5" s="919"/>
      <c r="V5" s="920"/>
      <c r="W5" s="925" t="s">
        <v>100</v>
      </c>
      <c r="X5" s="926"/>
      <c r="Y5" s="927"/>
      <c r="Z5" s="918" t="s">
        <v>101</v>
      </c>
      <c r="AA5" s="919"/>
      <c r="AB5" s="920"/>
    </row>
    <row r="6" spans="1:28" s="135" customFormat="1" ht="33" customHeight="1" thickBot="1">
      <c r="A6" s="924"/>
      <c r="B6" s="497" t="s">
        <v>102</v>
      </c>
      <c r="C6" s="498" t="s">
        <v>103</v>
      </c>
      <c r="D6" s="499" t="s">
        <v>104</v>
      </c>
      <c r="E6" s="497" t="s">
        <v>102</v>
      </c>
      <c r="F6" s="498" t="s">
        <v>103</v>
      </c>
      <c r="G6" s="500" t="s">
        <v>104</v>
      </c>
      <c r="H6" s="497" t="s">
        <v>102</v>
      </c>
      <c r="I6" s="498" t="s">
        <v>103</v>
      </c>
      <c r="J6" s="500" t="s">
        <v>104</v>
      </c>
      <c r="K6" s="497" t="s">
        <v>102</v>
      </c>
      <c r="L6" s="498" t="s">
        <v>103</v>
      </c>
      <c r="M6" s="500" t="s">
        <v>104</v>
      </c>
      <c r="N6" s="497" t="s">
        <v>102</v>
      </c>
      <c r="O6" s="501" t="s">
        <v>103</v>
      </c>
      <c r="P6" s="497" t="s">
        <v>104</v>
      </c>
      <c r="Q6" s="502" t="s">
        <v>102</v>
      </c>
      <c r="R6" s="503" t="s">
        <v>103</v>
      </c>
      <c r="S6" s="504" t="s">
        <v>104</v>
      </c>
      <c r="T6" s="502" t="s">
        <v>102</v>
      </c>
      <c r="U6" s="503" t="s">
        <v>103</v>
      </c>
      <c r="V6" s="504" t="s">
        <v>104</v>
      </c>
      <c r="W6" s="502" t="s">
        <v>102</v>
      </c>
      <c r="X6" s="503" t="s">
        <v>103</v>
      </c>
      <c r="Y6" s="504" t="s">
        <v>104</v>
      </c>
      <c r="Z6" s="505" t="s">
        <v>102</v>
      </c>
      <c r="AA6" s="503" t="s">
        <v>103</v>
      </c>
      <c r="AB6" s="506" t="s">
        <v>104</v>
      </c>
    </row>
    <row r="7" spans="1:30" ht="33" customHeight="1">
      <c r="A7" s="507" t="s">
        <v>105</v>
      </c>
      <c r="B7" s="136">
        <v>350654</v>
      </c>
      <c r="C7" s="136">
        <v>356682</v>
      </c>
      <c r="D7" s="137">
        <v>356682</v>
      </c>
      <c r="E7" s="138">
        <v>118665</v>
      </c>
      <c r="F7" s="136">
        <v>120774</v>
      </c>
      <c r="G7" s="137">
        <v>118874</v>
      </c>
      <c r="H7" s="138">
        <v>3459</v>
      </c>
      <c r="I7" s="136">
        <v>3515</v>
      </c>
      <c r="J7" s="137">
        <v>3515</v>
      </c>
      <c r="K7" s="138">
        <v>69073</v>
      </c>
      <c r="L7" s="136">
        <v>233797</v>
      </c>
      <c r="M7" s="137">
        <v>86966.39138</v>
      </c>
      <c r="N7" s="138">
        <v>21362</v>
      </c>
      <c r="O7" s="136">
        <v>49417</v>
      </c>
      <c r="P7" s="137">
        <v>68270.5495</v>
      </c>
      <c r="Q7" s="138">
        <v>11520</v>
      </c>
      <c r="R7" s="136">
        <v>4259</v>
      </c>
      <c r="S7" s="137">
        <v>4209.405</v>
      </c>
      <c r="T7" s="138">
        <v>0</v>
      </c>
      <c r="U7" s="136">
        <v>0</v>
      </c>
      <c r="V7" s="137">
        <v>0</v>
      </c>
      <c r="W7" s="138">
        <v>0</v>
      </c>
      <c r="X7" s="136">
        <v>0</v>
      </c>
      <c r="Y7" s="139">
        <v>0</v>
      </c>
      <c r="Z7" s="140">
        <v>563213</v>
      </c>
      <c r="AA7" s="141">
        <v>764185</v>
      </c>
      <c r="AB7" s="142">
        <v>634307.94088</v>
      </c>
      <c r="AD7" s="143"/>
    </row>
    <row r="8" spans="1:28" ht="33" customHeight="1">
      <c r="A8" s="507" t="s">
        <v>106</v>
      </c>
      <c r="B8" s="136">
        <v>412587</v>
      </c>
      <c r="C8" s="136">
        <v>416412</v>
      </c>
      <c r="D8" s="144">
        <v>416412</v>
      </c>
      <c r="E8" s="138">
        <v>139559</v>
      </c>
      <c r="F8" s="136">
        <v>141037</v>
      </c>
      <c r="G8" s="144">
        <v>138913</v>
      </c>
      <c r="H8" s="138">
        <v>4070</v>
      </c>
      <c r="I8" s="136">
        <v>4105</v>
      </c>
      <c r="J8" s="144">
        <v>4104.734</v>
      </c>
      <c r="K8" s="138">
        <v>78338</v>
      </c>
      <c r="L8" s="136">
        <v>89501</v>
      </c>
      <c r="M8" s="144">
        <v>95881.20548</v>
      </c>
      <c r="N8" s="138">
        <v>3531</v>
      </c>
      <c r="O8" s="136">
        <v>5770</v>
      </c>
      <c r="P8" s="144">
        <v>14541.228000000003</v>
      </c>
      <c r="Q8" s="138">
        <v>11360</v>
      </c>
      <c r="R8" s="136">
        <v>4650</v>
      </c>
      <c r="S8" s="144">
        <v>4611.92</v>
      </c>
      <c r="T8" s="138">
        <v>0</v>
      </c>
      <c r="U8" s="136">
        <v>0</v>
      </c>
      <c r="V8" s="144">
        <v>0</v>
      </c>
      <c r="W8" s="138">
        <v>0</v>
      </c>
      <c r="X8" s="136">
        <v>0</v>
      </c>
      <c r="Y8" s="139">
        <v>0</v>
      </c>
      <c r="Z8" s="145">
        <v>638085</v>
      </c>
      <c r="AA8" s="146">
        <v>656825</v>
      </c>
      <c r="AB8" s="147">
        <v>669852.1674800001</v>
      </c>
    </row>
    <row r="9" spans="1:28" ht="33" customHeight="1">
      <c r="A9" s="507" t="s">
        <v>107</v>
      </c>
      <c r="B9" s="136">
        <v>262587</v>
      </c>
      <c r="C9" s="136">
        <v>266170</v>
      </c>
      <c r="D9" s="144">
        <v>266169.992</v>
      </c>
      <c r="E9" s="138">
        <v>88734</v>
      </c>
      <c r="F9" s="136">
        <v>90166</v>
      </c>
      <c r="G9" s="144">
        <v>88386</v>
      </c>
      <c r="H9" s="138">
        <v>2608</v>
      </c>
      <c r="I9" s="136">
        <v>2644</v>
      </c>
      <c r="J9" s="144">
        <v>2644</v>
      </c>
      <c r="K9" s="138">
        <v>51038</v>
      </c>
      <c r="L9" s="136">
        <v>54944</v>
      </c>
      <c r="M9" s="144">
        <v>59899.53237</v>
      </c>
      <c r="N9" s="138">
        <v>12255</v>
      </c>
      <c r="O9" s="136">
        <v>16717</v>
      </c>
      <c r="P9" s="144">
        <v>16751.62088</v>
      </c>
      <c r="Q9" s="138">
        <v>6640</v>
      </c>
      <c r="R9" s="136">
        <v>3974</v>
      </c>
      <c r="S9" s="144">
        <v>3905.848</v>
      </c>
      <c r="T9" s="138">
        <v>0</v>
      </c>
      <c r="U9" s="136">
        <v>0</v>
      </c>
      <c r="V9" s="144">
        <v>0</v>
      </c>
      <c r="W9" s="138">
        <v>0</v>
      </c>
      <c r="X9" s="136">
        <v>0</v>
      </c>
      <c r="Y9" s="139">
        <v>0</v>
      </c>
      <c r="Z9" s="145">
        <v>417222</v>
      </c>
      <c r="AA9" s="146">
        <v>430641</v>
      </c>
      <c r="AB9" s="147">
        <v>433851.14525</v>
      </c>
    </row>
    <row r="10" spans="1:28" ht="33" customHeight="1">
      <c r="A10" s="507" t="s">
        <v>108</v>
      </c>
      <c r="B10" s="136">
        <v>243354</v>
      </c>
      <c r="C10" s="136">
        <v>245965</v>
      </c>
      <c r="D10" s="144">
        <v>245941.463</v>
      </c>
      <c r="E10" s="138">
        <v>82283</v>
      </c>
      <c r="F10" s="136">
        <v>83363</v>
      </c>
      <c r="G10" s="144">
        <v>82413</v>
      </c>
      <c r="H10" s="138">
        <v>2400</v>
      </c>
      <c r="I10" s="136">
        <v>2427</v>
      </c>
      <c r="J10" s="144">
        <v>2426.55</v>
      </c>
      <c r="K10" s="138">
        <v>45747</v>
      </c>
      <c r="L10" s="136">
        <v>51040</v>
      </c>
      <c r="M10" s="144">
        <v>60700.70925</v>
      </c>
      <c r="N10" s="138">
        <v>5683</v>
      </c>
      <c r="O10" s="136">
        <v>6564</v>
      </c>
      <c r="P10" s="144">
        <v>24922.362600000004</v>
      </c>
      <c r="Q10" s="138">
        <v>3940</v>
      </c>
      <c r="R10" s="136">
        <v>2990</v>
      </c>
      <c r="S10" s="144">
        <v>2988.76</v>
      </c>
      <c r="T10" s="138">
        <v>0</v>
      </c>
      <c r="U10" s="136">
        <v>0</v>
      </c>
      <c r="V10" s="144">
        <v>0</v>
      </c>
      <c r="W10" s="138">
        <v>0</v>
      </c>
      <c r="X10" s="136">
        <v>0</v>
      </c>
      <c r="Y10" s="139">
        <v>0</v>
      </c>
      <c r="Z10" s="145">
        <v>379467</v>
      </c>
      <c r="AA10" s="146">
        <v>389359</v>
      </c>
      <c r="AB10" s="147">
        <v>416404.08485</v>
      </c>
    </row>
    <row r="11" spans="1:28" ht="33" customHeight="1">
      <c r="A11" s="507" t="s">
        <v>109</v>
      </c>
      <c r="B11" s="136">
        <v>110673</v>
      </c>
      <c r="C11" s="136">
        <v>110981</v>
      </c>
      <c r="D11" s="144">
        <v>122934.391</v>
      </c>
      <c r="E11" s="138">
        <v>37370</v>
      </c>
      <c r="F11" s="136">
        <v>37524</v>
      </c>
      <c r="G11" s="144">
        <v>40877.412</v>
      </c>
      <c r="H11" s="138">
        <v>1087</v>
      </c>
      <c r="I11" s="136">
        <v>1091</v>
      </c>
      <c r="J11" s="144">
        <v>1208.772</v>
      </c>
      <c r="K11" s="138">
        <v>21660</v>
      </c>
      <c r="L11" s="136">
        <v>24974</v>
      </c>
      <c r="M11" s="144">
        <v>32313.12707</v>
      </c>
      <c r="N11" s="138">
        <v>1929</v>
      </c>
      <c r="O11" s="136">
        <v>3140</v>
      </c>
      <c r="P11" s="144">
        <v>12562.393680000001</v>
      </c>
      <c r="Q11" s="138">
        <v>2480</v>
      </c>
      <c r="R11" s="136">
        <v>1399</v>
      </c>
      <c r="S11" s="144">
        <v>1395.568</v>
      </c>
      <c r="T11" s="138">
        <v>0</v>
      </c>
      <c r="U11" s="136">
        <v>0</v>
      </c>
      <c r="V11" s="144">
        <v>0</v>
      </c>
      <c r="W11" s="138">
        <v>0</v>
      </c>
      <c r="X11" s="136">
        <v>0</v>
      </c>
      <c r="Y11" s="139">
        <v>0</v>
      </c>
      <c r="Z11" s="145">
        <v>172719</v>
      </c>
      <c r="AA11" s="146">
        <v>177710</v>
      </c>
      <c r="AB11" s="147">
        <v>209896.09575</v>
      </c>
    </row>
    <row r="12" spans="1:28" ht="33" customHeight="1">
      <c r="A12" s="507" t="s">
        <v>110</v>
      </c>
      <c r="B12" s="136">
        <v>291372</v>
      </c>
      <c r="C12" s="136">
        <v>291022</v>
      </c>
      <c r="D12" s="144">
        <v>291022</v>
      </c>
      <c r="E12" s="138">
        <v>98535</v>
      </c>
      <c r="F12" s="136">
        <v>98546</v>
      </c>
      <c r="G12" s="144">
        <v>96069.65</v>
      </c>
      <c r="H12" s="138">
        <v>2856</v>
      </c>
      <c r="I12" s="136">
        <v>2850</v>
      </c>
      <c r="J12" s="144">
        <v>2850</v>
      </c>
      <c r="K12" s="138">
        <v>54541</v>
      </c>
      <c r="L12" s="136">
        <v>59561</v>
      </c>
      <c r="M12" s="144">
        <v>62037.976590000006</v>
      </c>
      <c r="N12" s="138">
        <v>7343</v>
      </c>
      <c r="O12" s="136">
        <v>24812</v>
      </c>
      <c r="P12" s="144">
        <v>14277.768189999999</v>
      </c>
      <c r="Q12" s="138">
        <v>4680</v>
      </c>
      <c r="R12" s="136">
        <v>4002</v>
      </c>
      <c r="S12" s="144">
        <v>3729.236</v>
      </c>
      <c r="T12" s="138">
        <v>0</v>
      </c>
      <c r="U12" s="136">
        <v>0</v>
      </c>
      <c r="V12" s="144">
        <v>0</v>
      </c>
      <c r="W12" s="138">
        <v>0</v>
      </c>
      <c r="X12" s="136">
        <v>0</v>
      </c>
      <c r="Y12" s="139">
        <v>0</v>
      </c>
      <c r="Z12" s="145">
        <v>454647</v>
      </c>
      <c r="AA12" s="146">
        <v>476791</v>
      </c>
      <c r="AB12" s="147">
        <v>466257.39478</v>
      </c>
    </row>
    <row r="13" spans="1:28" ht="33" customHeight="1">
      <c r="A13" s="507" t="s">
        <v>111</v>
      </c>
      <c r="B13" s="136">
        <v>145143</v>
      </c>
      <c r="C13" s="136">
        <v>147428</v>
      </c>
      <c r="D13" s="144">
        <v>147427.512</v>
      </c>
      <c r="E13" s="138">
        <v>49098</v>
      </c>
      <c r="F13" s="136">
        <v>49939</v>
      </c>
      <c r="G13" s="144">
        <v>49368.78</v>
      </c>
      <c r="H13" s="138">
        <v>1437</v>
      </c>
      <c r="I13" s="136">
        <v>1460</v>
      </c>
      <c r="J13" s="144">
        <v>1458.56</v>
      </c>
      <c r="K13" s="138">
        <v>28596</v>
      </c>
      <c r="L13" s="136">
        <v>39081</v>
      </c>
      <c r="M13" s="144">
        <v>41489.526560000006</v>
      </c>
      <c r="N13" s="138">
        <v>31166</v>
      </c>
      <c r="O13" s="136">
        <v>33285</v>
      </c>
      <c r="P13" s="144">
        <v>22548.648490000003</v>
      </c>
      <c r="Q13" s="138">
        <v>1360</v>
      </c>
      <c r="R13" s="136">
        <v>2728</v>
      </c>
      <c r="S13" s="144">
        <v>2709.693</v>
      </c>
      <c r="T13" s="138">
        <v>0</v>
      </c>
      <c r="U13" s="136">
        <v>0</v>
      </c>
      <c r="V13" s="144">
        <v>0</v>
      </c>
      <c r="W13" s="138">
        <v>0</v>
      </c>
      <c r="X13" s="136">
        <v>0</v>
      </c>
      <c r="Y13" s="139">
        <v>0</v>
      </c>
      <c r="Z13" s="145">
        <v>255440</v>
      </c>
      <c r="AA13" s="146">
        <v>271193</v>
      </c>
      <c r="AB13" s="147">
        <v>262293.02705</v>
      </c>
    </row>
    <row r="14" spans="1:28" ht="33" customHeight="1">
      <c r="A14" s="507" t="s">
        <v>112</v>
      </c>
      <c r="B14" s="136">
        <v>188999</v>
      </c>
      <c r="C14" s="136">
        <v>189755</v>
      </c>
      <c r="D14" s="144">
        <v>189755</v>
      </c>
      <c r="E14" s="138">
        <v>63796</v>
      </c>
      <c r="F14" s="136">
        <v>64271</v>
      </c>
      <c r="G14" s="144">
        <v>63419</v>
      </c>
      <c r="H14" s="138">
        <v>1859</v>
      </c>
      <c r="I14" s="136">
        <v>1868</v>
      </c>
      <c r="J14" s="144">
        <v>1868</v>
      </c>
      <c r="K14" s="138">
        <v>35446</v>
      </c>
      <c r="L14" s="136">
        <v>42199</v>
      </c>
      <c r="M14" s="144">
        <v>49469.504179999996</v>
      </c>
      <c r="N14" s="138">
        <v>1750</v>
      </c>
      <c r="O14" s="136">
        <v>5631</v>
      </c>
      <c r="P14" s="144">
        <v>7682.33</v>
      </c>
      <c r="Q14" s="138">
        <v>5520</v>
      </c>
      <c r="R14" s="136">
        <v>1302</v>
      </c>
      <c r="S14" s="144">
        <v>1302</v>
      </c>
      <c r="T14" s="138">
        <v>0</v>
      </c>
      <c r="U14" s="136">
        <v>0</v>
      </c>
      <c r="V14" s="144">
        <v>0</v>
      </c>
      <c r="W14" s="138">
        <v>0</v>
      </c>
      <c r="X14" s="136">
        <v>0</v>
      </c>
      <c r="Y14" s="139">
        <v>0</v>
      </c>
      <c r="Z14" s="145">
        <v>291850</v>
      </c>
      <c r="AA14" s="146">
        <v>303724</v>
      </c>
      <c r="AB14" s="147">
        <v>312193.83418</v>
      </c>
    </row>
    <row r="15" spans="1:28" ht="33" customHeight="1">
      <c r="A15" s="507" t="s">
        <v>113</v>
      </c>
      <c r="B15" s="136">
        <v>166429</v>
      </c>
      <c r="C15" s="136">
        <v>168046</v>
      </c>
      <c r="D15" s="144">
        <v>168046</v>
      </c>
      <c r="E15" s="138">
        <v>56317</v>
      </c>
      <c r="F15" s="136">
        <v>56925</v>
      </c>
      <c r="G15" s="144">
        <v>55839</v>
      </c>
      <c r="H15" s="138">
        <v>1652</v>
      </c>
      <c r="I15" s="136">
        <v>1666</v>
      </c>
      <c r="J15" s="144">
        <v>1666</v>
      </c>
      <c r="K15" s="138">
        <v>31148</v>
      </c>
      <c r="L15" s="136">
        <v>37206</v>
      </c>
      <c r="M15" s="144">
        <v>44392.763810000004</v>
      </c>
      <c r="N15" s="138">
        <v>8673</v>
      </c>
      <c r="O15" s="136">
        <v>10362</v>
      </c>
      <c r="P15" s="144">
        <v>16929.12031</v>
      </c>
      <c r="Q15" s="138">
        <v>2240</v>
      </c>
      <c r="R15" s="136">
        <v>1849</v>
      </c>
      <c r="S15" s="144">
        <v>1802.057</v>
      </c>
      <c r="T15" s="138">
        <v>0</v>
      </c>
      <c r="U15" s="136">
        <v>0</v>
      </c>
      <c r="V15" s="144">
        <v>0</v>
      </c>
      <c r="W15" s="138">
        <v>0</v>
      </c>
      <c r="X15" s="136">
        <v>0</v>
      </c>
      <c r="Y15" s="139">
        <v>0</v>
      </c>
      <c r="Z15" s="145">
        <v>264219</v>
      </c>
      <c r="AA15" s="146">
        <v>274205</v>
      </c>
      <c r="AB15" s="147">
        <v>286872.88412000006</v>
      </c>
    </row>
    <row r="16" spans="1:28" ht="33" customHeight="1">
      <c r="A16" s="507" t="s">
        <v>114</v>
      </c>
      <c r="B16" s="136">
        <v>218978</v>
      </c>
      <c r="C16" s="136">
        <v>216069</v>
      </c>
      <c r="D16" s="144">
        <v>216069</v>
      </c>
      <c r="E16" s="138">
        <v>74102</v>
      </c>
      <c r="F16" s="136">
        <v>73439</v>
      </c>
      <c r="G16" s="144">
        <v>72662</v>
      </c>
      <c r="H16" s="138">
        <v>2160</v>
      </c>
      <c r="I16" s="136">
        <v>2136</v>
      </c>
      <c r="J16" s="144">
        <v>2136</v>
      </c>
      <c r="K16" s="138">
        <v>40469</v>
      </c>
      <c r="L16" s="136">
        <v>43420</v>
      </c>
      <c r="M16" s="144">
        <v>49287.120630000005</v>
      </c>
      <c r="N16" s="138">
        <v>10335</v>
      </c>
      <c r="O16" s="136">
        <v>11409</v>
      </c>
      <c r="P16" s="144">
        <v>10499.445760000002</v>
      </c>
      <c r="Q16" s="138">
        <v>2582</v>
      </c>
      <c r="R16" s="136">
        <v>1037</v>
      </c>
      <c r="S16" s="144">
        <v>1001.55</v>
      </c>
      <c r="T16" s="138">
        <v>0</v>
      </c>
      <c r="U16" s="136">
        <v>0</v>
      </c>
      <c r="V16" s="144">
        <v>0</v>
      </c>
      <c r="W16" s="138">
        <v>0</v>
      </c>
      <c r="X16" s="136">
        <v>0</v>
      </c>
      <c r="Y16" s="139">
        <v>0</v>
      </c>
      <c r="Z16" s="145">
        <v>346044</v>
      </c>
      <c r="AA16" s="146">
        <v>346473</v>
      </c>
      <c r="AB16" s="147">
        <v>350653.56639000005</v>
      </c>
    </row>
    <row r="17" spans="1:28" ht="33" customHeight="1">
      <c r="A17" s="507" t="s">
        <v>115</v>
      </c>
      <c r="B17" s="136">
        <v>332657</v>
      </c>
      <c r="C17" s="136">
        <v>333540</v>
      </c>
      <c r="D17" s="144">
        <v>335542.384</v>
      </c>
      <c r="E17" s="138">
        <v>112432</v>
      </c>
      <c r="F17" s="136">
        <v>112850</v>
      </c>
      <c r="G17" s="144">
        <v>111499.661</v>
      </c>
      <c r="H17" s="138">
        <v>3293</v>
      </c>
      <c r="I17" s="136">
        <v>3298</v>
      </c>
      <c r="J17" s="144">
        <v>3318.026</v>
      </c>
      <c r="K17" s="138">
        <v>62097</v>
      </c>
      <c r="L17" s="136">
        <v>70699</v>
      </c>
      <c r="M17" s="144">
        <v>95165.8075</v>
      </c>
      <c r="N17" s="138">
        <v>5882</v>
      </c>
      <c r="O17" s="136">
        <v>24426</v>
      </c>
      <c r="P17" s="144">
        <v>27799.335000000003</v>
      </c>
      <c r="Q17" s="138">
        <v>8480</v>
      </c>
      <c r="R17" s="136">
        <v>5450</v>
      </c>
      <c r="S17" s="144">
        <v>5405.815</v>
      </c>
      <c r="T17" s="138">
        <v>0</v>
      </c>
      <c r="U17" s="136">
        <v>0</v>
      </c>
      <c r="V17" s="144">
        <v>0</v>
      </c>
      <c r="W17" s="138">
        <v>0</v>
      </c>
      <c r="X17" s="136">
        <v>0</v>
      </c>
      <c r="Y17" s="139">
        <v>0</v>
      </c>
      <c r="Z17" s="145">
        <v>516361</v>
      </c>
      <c r="AA17" s="146">
        <v>544813</v>
      </c>
      <c r="AB17" s="147">
        <v>573325.2135000001</v>
      </c>
    </row>
    <row r="18" spans="1:28" ht="33" customHeight="1">
      <c r="A18" s="507" t="s">
        <v>116</v>
      </c>
      <c r="B18" s="136">
        <v>163812</v>
      </c>
      <c r="C18" s="136">
        <v>167046</v>
      </c>
      <c r="D18" s="144">
        <v>167029.55</v>
      </c>
      <c r="E18" s="138">
        <v>55434</v>
      </c>
      <c r="F18" s="136">
        <v>56573</v>
      </c>
      <c r="G18" s="144">
        <v>55073.267</v>
      </c>
      <c r="H18" s="138">
        <v>1617</v>
      </c>
      <c r="I18" s="136">
        <v>1648</v>
      </c>
      <c r="J18" s="144">
        <v>1648</v>
      </c>
      <c r="K18" s="138">
        <v>33423</v>
      </c>
      <c r="L18" s="136">
        <v>36379</v>
      </c>
      <c r="M18" s="144">
        <v>41152.265060000005</v>
      </c>
      <c r="N18" s="138">
        <v>1451</v>
      </c>
      <c r="O18" s="136">
        <v>7420</v>
      </c>
      <c r="P18" s="144">
        <v>7817.13692</v>
      </c>
      <c r="Q18" s="138">
        <v>2640</v>
      </c>
      <c r="R18" s="136">
        <v>3624</v>
      </c>
      <c r="S18" s="144">
        <v>3469.706</v>
      </c>
      <c r="T18" s="138">
        <v>0</v>
      </c>
      <c r="U18" s="136">
        <v>0</v>
      </c>
      <c r="V18" s="144">
        <v>0</v>
      </c>
      <c r="W18" s="138">
        <v>0</v>
      </c>
      <c r="X18" s="136">
        <v>0</v>
      </c>
      <c r="Y18" s="139">
        <v>0</v>
      </c>
      <c r="Z18" s="145">
        <v>255737</v>
      </c>
      <c r="AA18" s="146">
        <v>269066</v>
      </c>
      <c r="AB18" s="147">
        <v>272720.21898</v>
      </c>
    </row>
    <row r="19" spans="1:28" ht="33" customHeight="1">
      <c r="A19" s="507" t="s">
        <v>117</v>
      </c>
      <c r="B19" s="136">
        <v>367861</v>
      </c>
      <c r="C19" s="136">
        <v>376624</v>
      </c>
      <c r="D19" s="144">
        <v>379079.646</v>
      </c>
      <c r="E19" s="138">
        <v>124495</v>
      </c>
      <c r="F19" s="136">
        <v>128310</v>
      </c>
      <c r="G19" s="144">
        <v>72102.776</v>
      </c>
      <c r="H19" s="138">
        <v>3547</v>
      </c>
      <c r="I19" s="136">
        <v>3652</v>
      </c>
      <c r="J19" s="144">
        <v>2124.03</v>
      </c>
      <c r="K19" s="138">
        <v>64367</v>
      </c>
      <c r="L19" s="136">
        <v>86197</v>
      </c>
      <c r="M19" s="144">
        <v>56367.74779</v>
      </c>
      <c r="N19" s="138">
        <v>4337</v>
      </c>
      <c r="O19" s="136">
        <v>6979</v>
      </c>
      <c r="P19" s="144">
        <v>3412.1348000000007</v>
      </c>
      <c r="Q19" s="138">
        <v>5040</v>
      </c>
      <c r="R19" s="136">
        <v>3230</v>
      </c>
      <c r="S19" s="144">
        <v>3416.037</v>
      </c>
      <c r="T19" s="138">
        <v>0</v>
      </c>
      <c r="U19" s="136">
        <v>0</v>
      </c>
      <c r="V19" s="144">
        <v>0</v>
      </c>
      <c r="W19" s="138">
        <v>0</v>
      </c>
      <c r="X19" s="136">
        <v>0</v>
      </c>
      <c r="Y19" s="139">
        <v>0</v>
      </c>
      <c r="Z19" s="145">
        <v>564607</v>
      </c>
      <c r="AA19" s="146">
        <v>601762</v>
      </c>
      <c r="AB19" s="147">
        <v>513086.33459000004</v>
      </c>
    </row>
    <row r="20" spans="1:28" ht="33" customHeight="1">
      <c r="A20" s="507" t="s">
        <v>118</v>
      </c>
      <c r="B20" s="136">
        <v>212637</v>
      </c>
      <c r="C20" s="136">
        <v>216760</v>
      </c>
      <c r="D20" s="144">
        <v>216749.851</v>
      </c>
      <c r="E20" s="138">
        <v>71925</v>
      </c>
      <c r="F20" s="136">
        <v>73463</v>
      </c>
      <c r="G20" s="144">
        <v>126276.31</v>
      </c>
      <c r="H20" s="138">
        <v>2083</v>
      </c>
      <c r="I20" s="136">
        <v>2125</v>
      </c>
      <c r="J20" s="144">
        <v>3652</v>
      </c>
      <c r="K20" s="138">
        <v>40788</v>
      </c>
      <c r="L20" s="136">
        <v>47712</v>
      </c>
      <c r="M20" s="144">
        <v>127248.56286</v>
      </c>
      <c r="N20" s="138">
        <v>1573</v>
      </c>
      <c r="O20" s="136">
        <v>7766</v>
      </c>
      <c r="P20" s="144">
        <v>53563.954</v>
      </c>
      <c r="Q20" s="138">
        <v>3760</v>
      </c>
      <c r="R20" s="136">
        <v>3418</v>
      </c>
      <c r="S20" s="144">
        <v>3154.638</v>
      </c>
      <c r="T20" s="138">
        <v>0</v>
      </c>
      <c r="U20" s="136">
        <v>0</v>
      </c>
      <c r="V20" s="144">
        <v>0</v>
      </c>
      <c r="W20" s="138">
        <v>0</v>
      </c>
      <c r="X20" s="136">
        <v>0</v>
      </c>
      <c r="Y20" s="139">
        <v>0</v>
      </c>
      <c r="Z20" s="145">
        <v>329006</v>
      </c>
      <c r="AA20" s="146">
        <v>347826</v>
      </c>
      <c r="AB20" s="147">
        <v>527490.6778599999</v>
      </c>
    </row>
    <row r="21" spans="1:28" ht="33" customHeight="1">
      <c r="A21" s="507" t="s">
        <v>119</v>
      </c>
      <c r="B21" s="136">
        <v>70379</v>
      </c>
      <c r="C21" s="136">
        <v>68378</v>
      </c>
      <c r="D21" s="144">
        <v>68098.748</v>
      </c>
      <c r="E21" s="138">
        <v>23789</v>
      </c>
      <c r="F21" s="136">
        <v>23052</v>
      </c>
      <c r="G21" s="144">
        <v>22518.737</v>
      </c>
      <c r="H21" s="138">
        <v>696</v>
      </c>
      <c r="I21" s="136">
        <v>673</v>
      </c>
      <c r="J21" s="144">
        <v>673</v>
      </c>
      <c r="K21" s="138">
        <v>29187</v>
      </c>
      <c r="L21" s="136">
        <v>35690</v>
      </c>
      <c r="M21" s="144">
        <v>35905.80896</v>
      </c>
      <c r="N21" s="138">
        <v>1400</v>
      </c>
      <c r="O21" s="136">
        <v>4153</v>
      </c>
      <c r="P21" s="144">
        <v>4086.6952</v>
      </c>
      <c r="Q21" s="138">
        <v>208</v>
      </c>
      <c r="R21" s="136">
        <v>660</v>
      </c>
      <c r="S21" s="144">
        <v>617.558</v>
      </c>
      <c r="T21" s="138">
        <v>0</v>
      </c>
      <c r="U21" s="136">
        <v>0</v>
      </c>
      <c r="V21" s="144">
        <v>0</v>
      </c>
      <c r="W21" s="138">
        <v>0</v>
      </c>
      <c r="X21" s="136">
        <v>0</v>
      </c>
      <c r="Y21" s="139">
        <v>0</v>
      </c>
      <c r="Z21" s="145">
        <v>125451</v>
      </c>
      <c r="AA21" s="146">
        <v>131946</v>
      </c>
      <c r="AB21" s="147">
        <v>131282.98916</v>
      </c>
    </row>
    <row r="22" spans="1:28" ht="33" customHeight="1" thickBot="1">
      <c r="A22" s="507" t="s">
        <v>120</v>
      </c>
      <c r="B22" s="136">
        <v>33016</v>
      </c>
      <c r="C22" s="136">
        <v>0</v>
      </c>
      <c r="D22" s="144">
        <v>0</v>
      </c>
      <c r="E22" s="138">
        <v>11007</v>
      </c>
      <c r="F22" s="136">
        <v>0</v>
      </c>
      <c r="G22" s="144">
        <v>0</v>
      </c>
      <c r="H22" s="138">
        <v>250</v>
      </c>
      <c r="I22" s="136">
        <v>0</v>
      </c>
      <c r="J22" s="144">
        <v>0</v>
      </c>
      <c r="K22" s="138">
        <v>150000</v>
      </c>
      <c r="L22" s="136">
        <v>0</v>
      </c>
      <c r="M22" s="144">
        <v>0</v>
      </c>
      <c r="N22" s="138">
        <v>54000</v>
      </c>
      <c r="O22" s="136">
        <v>0</v>
      </c>
      <c r="P22" s="144">
        <v>0</v>
      </c>
      <c r="Q22" s="138">
        <v>18113</v>
      </c>
      <c r="R22" s="136">
        <v>0</v>
      </c>
      <c r="S22" s="144">
        <v>0</v>
      </c>
      <c r="T22" s="138">
        <v>0</v>
      </c>
      <c r="U22" s="136">
        <v>0</v>
      </c>
      <c r="V22" s="144">
        <v>0</v>
      </c>
      <c r="W22" s="138">
        <v>0</v>
      </c>
      <c r="X22" s="136">
        <v>0</v>
      </c>
      <c r="Y22" s="139">
        <v>0</v>
      </c>
      <c r="Z22" s="148">
        <v>248273</v>
      </c>
      <c r="AA22" s="149">
        <v>0</v>
      </c>
      <c r="AB22" s="150">
        <v>0</v>
      </c>
    </row>
    <row r="23" spans="1:28" ht="33" customHeight="1" thickBot="1">
      <c r="A23" s="169" t="s">
        <v>121</v>
      </c>
      <c r="B23" s="151">
        <v>3571138</v>
      </c>
      <c r="C23" s="152">
        <v>3570878</v>
      </c>
      <c r="D23" s="153">
        <v>3586959.537</v>
      </c>
      <c r="E23" s="154">
        <v>1207541</v>
      </c>
      <c r="F23" s="152">
        <v>1210232</v>
      </c>
      <c r="G23" s="153">
        <v>1194292.5929999999</v>
      </c>
      <c r="H23" s="154">
        <v>35074</v>
      </c>
      <c r="I23" s="152">
        <v>35158</v>
      </c>
      <c r="J23" s="153">
        <v>35292.672</v>
      </c>
      <c r="K23" s="151">
        <v>835918</v>
      </c>
      <c r="L23" s="152">
        <v>952400</v>
      </c>
      <c r="M23" s="155">
        <v>938278.0494900001</v>
      </c>
      <c r="N23" s="154">
        <v>172670</v>
      </c>
      <c r="O23" s="152">
        <v>217851</v>
      </c>
      <c r="P23" s="153">
        <v>305664.72333</v>
      </c>
      <c r="Q23" s="154">
        <v>90563</v>
      </c>
      <c r="R23" s="152">
        <v>44572</v>
      </c>
      <c r="S23" s="153">
        <v>43719.79099999999</v>
      </c>
      <c r="T23" s="154">
        <v>0</v>
      </c>
      <c r="U23" s="152">
        <v>0</v>
      </c>
      <c r="V23" s="153">
        <v>0</v>
      </c>
      <c r="W23" s="154">
        <v>0</v>
      </c>
      <c r="X23" s="152">
        <v>0</v>
      </c>
      <c r="Y23" s="153">
        <v>0</v>
      </c>
      <c r="Z23" s="156">
        <v>5822341</v>
      </c>
      <c r="AA23" s="157">
        <v>5986519</v>
      </c>
      <c r="AB23" s="158">
        <v>6060487.574820001</v>
      </c>
    </row>
    <row r="24" spans="1:28" ht="33" customHeight="1">
      <c r="A24" s="508" t="s">
        <v>122</v>
      </c>
      <c r="B24" s="136">
        <v>13298</v>
      </c>
      <c r="C24" s="136">
        <v>12987</v>
      </c>
      <c r="D24" s="144">
        <v>12973.199</v>
      </c>
      <c r="E24" s="138">
        <v>4440</v>
      </c>
      <c r="F24" s="136">
        <v>4334</v>
      </c>
      <c r="G24" s="144">
        <v>4217.382</v>
      </c>
      <c r="H24" s="138">
        <v>130</v>
      </c>
      <c r="I24" s="136">
        <v>127</v>
      </c>
      <c r="J24" s="144">
        <v>127</v>
      </c>
      <c r="K24" s="138">
        <v>4230</v>
      </c>
      <c r="L24" s="136">
        <v>5859</v>
      </c>
      <c r="M24" s="144">
        <v>5882.25293</v>
      </c>
      <c r="N24" s="138">
        <v>0</v>
      </c>
      <c r="O24" s="136">
        <v>100</v>
      </c>
      <c r="P24" s="144">
        <v>93.384</v>
      </c>
      <c r="Q24" s="138">
        <v>50</v>
      </c>
      <c r="R24" s="136">
        <v>158</v>
      </c>
      <c r="S24" s="144">
        <v>136.45</v>
      </c>
      <c r="T24" s="138">
        <v>0</v>
      </c>
      <c r="U24" s="136">
        <v>0</v>
      </c>
      <c r="V24" s="144">
        <v>0</v>
      </c>
      <c r="W24" s="138">
        <v>0</v>
      </c>
      <c r="X24" s="136">
        <v>0</v>
      </c>
      <c r="Y24" s="136">
        <v>0</v>
      </c>
      <c r="Z24" s="159">
        <v>22098</v>
      </c>
      <c r="AA24" s="146">
        <v>23407</v>
      </c>
      <c r="AB24" s="147">
        <v>23293.217929999995</v>
      </c>
    </row>
    <row r="25" spans="1:28" ht="33" customHeight="1" thickBot="1">
      <c r="A25" s="508" t="s">
        <v>123</v>
      </c>
      <c r="B25" s="136">
        <v>234884</v>
      </c>
      <c r="C25" s="136">
        <v>238133</v>
      </c>
      <c r="D25" s="160">
        <v>235867.601</v>
      </c>
      <c r="E25" s="138">
        <v>78965</v>
      </c>
      <c r="F25" s="136">
        <v>77161</v>
      </c>
      <c r="G25" s="160">
        <v>75478.08703</v>
      </c>
      <c r="H25" s="138">
        <v>2258</v>
      </c>
      <c r="I25" s="136">
        <v>2204</v>
      </c>
      <c r="J25" s="144">
        <v>2200.308</v>
      </c>
      <c r="K25" s="138">
        <v>431881</v>
      </c>
      <c r="L25" s="136">
        <v>354251</v>
      </c>
      <c r="M25" s="160">
        <v>309959.25</v>
      </c>
      <c r="N25" s="138">
        <v>51805</v>
      </c>
      <c r="O25" s="136">
        <v>58486</v>
      </c>
      <c r="P25" s="160">
        <v>41409.44922</v>
      </c>
      <c r="Q25" s="138">
        <v>7000</v>
      </c>
      <c r="R25" s="136">
        <v>2878</v>
      </c>
      <c r="S25" s="160">
        <v>2876.064</v>
      </c>
      <c r="T25" s="138">
        <v>52446</v>
      </c>
      <c r="U25" s="136">
        <v>53660</v>
      </c>
      <c r="V25" s="160">
        <v>48578.43385</v>
      </c>
      <c r="W25" s="138">
        <v>0</v>
      </c>
      <c r="X25" s="136">
        <v>2550</v>
      </c>
      <c r="Y25" s="136">
        <v>48.302620000000005</v>
      </c>
      <c r="Z25" s="159">
        <v>852239</v>
      </c>
      <c r="AA25" s="146">
        <v>783595</v>
      </c>
      <c r="AB25" s="147">
        <v>711316.30772</v>
      </c>
    </row>
    <row r="26" spans="1:28" s="175" customFormat="1" ht="39" customHeight="1" thickBot="1">
      <c r="A26" s="509" t="s">
        <v>124</v>
      </c>
      <c r="B26" s="170">
        <v>3819320</v>
      </c>
      <c r="C26" s="170">
        <v>3821998</v>
      </c>
      <c r="D26" s="171">
        <v>3835800.337</v>
      </c>
      <c r="E26" s="170">
        <v>1290946</v>
      </c>
      <c r="F26" s="170">
        <v>1291727</v>
      </c>
      <c r="G26" s="171">
        <v>1273988.06203</v>
      </c>
      <c r="H26" s="170">
        <v>37462</v>
      </c>
      <c r="I26" s="170">
        <v>37489</v>
      </c>
      <c r="J26" s="171">
        <v>37619.98</v>
      </c>
      <c r="K26" s="172">
        <v>1272029</v>
      </c>
      <c r="L26" s="170">
        <v>1312510</v>
      </c>
      <c r="M26" s="171">
        <v>1254119.55242</v>
      </c>
      <c r="N26" s="170">
        <v>224475</v>
      </c>
      <c r="O26" s="170">
        <v>276437</v>
      </c>
      <c r="P26" s="173">
        <v>347167.55655000004</v>
      </c>
      <c r="Q26" s="174">
        <v>97613</v>
      </c>
      <c r="R26" s="170">
        <v>47608</v>
      </c>
      <c r="S26" s="171">
        <v>46732.304999999986</v>
      </c>
      <c r="T26" s="174">
        <v>52446</v>
      </c>
      <c r="U26" s="170">
        <v>53660</v>
      </c>
      <c r="V26" s="171">
        <v>48578.43385</v>
      </c>
      <c r="W26" s="172">
        <v>0</v>
      </c>
      <c r="X26" s="170">
        <v>2550</v>
      </c>
      <c r="Y26" s="171">
        <v>48.302620000000005</v>
      </c>
      <c r="Z26" s="174">
        <v>6696678</v>
      </c>
      <c r="AA26" s="170">
        <v>6793521</v>
      </c>
      <c r="AB26" s="171">
        <v>6795097.100470001</v>
      </c>
    </row>
    <row r="27" spans="1:19" ht="11.25" customHeight="1">
      <c r="A27" s="161"/>
      <c r="B27" s="162"/>
      <c r="C27" s="162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</row>
    <row r="28" spans="1:28" ht="21.75" customHeight="1">
      <c r="A28" s="164"/>
      <c r="B28" s="162"/>
      <c r="C28" s="162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Z28" s="143"/>
      <c r="AA28" s="143"/>
      <c r="AB28" s="162"/>
    </row>
    <row r="29" spans="1:28" ht="21.75" customHeight="1">
      <c r="A29" s="135"/>
      <c r="B29" s="162"/>
      <c r="C29" s="162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Z29" s="143"/>
      <c r="AA29" s="143"/>
      <c r="AB29" s="133"/>
    </row>
    <row r="30" spans="1:40" s="486" customFormat="1" ht="18.75" customHeight="1">
      <c r="A30" s="485" t="s">
        <v>125</v>
      </c>
      <c r="C30" s="485"/>
      <c r="D30" s="487"/>
      <c r="E30" s="485"/>
      <c r="F30" s="485"/>
      <c r="G30" s="488"/>
      <c r="H30" s="488"/>
      <c r="I30" s="488"/>
      <c r="J30" s="488"/>
      <c r="K30" s="488" t="s">
        <v>128</v>
      </c>
      <c r="L30" s="488"/>
      <c r="M30" s="489"/>
      <c r="O30" s="488"/>
      <c r="P30" s="488"/>
      <c r="Q30" s="488"/>
      <c r="R30" s="488"/>
      <c r="S30" s="488"/>
      <c r="Z30" s="486" t="s">
        <v>148</v>
      </c>
      <c r="AA30" s="490"/>
      <c r="AB30" s="491"/>
      <c r="AM30" s="492"/>
      <c r="AN30" s="492"/>
    </row>
    <row r="31" spans="13:28" ht="31.5" customHeight="1">
      <c r="M31" s="45"/>
      <c r="AB31" s="133"/>
    </row>
    <row r="33" spans="12:19" ht="14.25">
      <c r="L33" s="143"/>
      <c r="M33" s="165"/>
      <c r="N33" s="143"/>
      <c r="O33" s="143"/>
      <c r="P33" s="143"/>
      <c r="Q33" s="143"/>
      <c r="R33" s="143"/>
      <c r="S33" s="143"/>
    </row>
    <row r="34" spans="12:19" ht="14.25">
      <c r="L34" s="143"/>
      <c r="M34" s="165"/>
      <c r="N34" s="143"/>
      <c r="O34" s="143"/>
      <c r="P34" s="143"/>
      <c r="Q34" s="143"/>
      <c r="R34" s="143"/>
      <c r="S34" s="143"/>
    </row>
    <row r="35" spans="2:19" ht="14.25">
      <c r="B35" s="143"/>
      <c r="L35" s="143"/>
      <c r="M35" s="165"/>
      <c r="N35" s="143"/>
      <c r="O35" s="143"/>
      <c r="P35" s="143"/>
      <c r="Q35" s="143"/>
      <c r="R35" s="143"/>
      <c r="S35" s="143"/>
    </row>
    <row r="36" spans="12:19" ht="14.25">
      <c r="L36" s="143"/>
      <c r="M36" s="165"/>
      <c r="N36" s="143"/>
      <c r="O36" s="143"/>
      <c r="P36" s="143"/>
      <c r="Q36" s="143"/>
      <c r="R36" s="143"/>
      <c r="S36" s="143"/>
    </row>
    <row r="37" spans="12:19" ht="14.25">
      <c r="L37" s="143"/>
      <c r="M37" s="165"/>
      <c r="N37" s="143"/>
      <c r="O37" s="143"/>
      <c r="P37" s="143"/>
      <c r="Q37" s="143"/>
      <c r="R37" s="143"/>
      <c r="S37" s="143"/>
    </row>
    <row r="38" spans="12:19" ht="12.75">
      <c r="L38" s="143"/>
      <c r="N38" s="143"/>
      <c r="O38" s="143"/>
      <c r="P38" s="143"/>
      <c r="Q38" s="143"/>
      <c r="R38" s="143"/>
      <c r="S38" s="143"/>
    </row>
    <row r="39" spans="12:19" ht="12.75">
      <c r="L39" s="143"/>
      <c r="N39" s="143"/>
      <c r="O39" s="143"/>
      <c r="P39" s="143"/>
      <c r="Q39" s="143"/>
      <c r="R39" s="143"/>
      <c r="S39" s="143"/>
    </row>
    <row r="43" ht="12.75">
      <c r="D43" s="88"/>
    </row>
    <row r="44" ht="12.75">
      <c r="D44" s="88"/>
    </row>
    <row r="45" ht="12.75">
      <c r="D45" s="88"/>
    </row>
    <row r="46" ht="12.75">
      <c r="D46" s="88"/>
    </row>
    <row r="47" ht="12.75">
      <c r="D47" s="88"/>
    </row>
    <row r="48" ht="12.75">
      <c r="D48" s="88"/>
    </row>
    <row r="49" ht="12.75">
      <c r="D49" s="88"/>
    </row>
    <row r="50" ht="12.75">
      <c r="D50" s="88"/>
    </row>
    <row r="51" ht="12.75">
      <c r="D51" s="88"/>
    </row>
    <row r="52" ht="12.75">
      <c r="D52" s="88"/>
    </row>
    <row r="53" ht="12.75">
      <c r="D53" s="88"/>
    </row>
    <row r="54" ht="12.75">
      <c r="D54" s="88"/>
    </row>
    <row r="55" ht="12.75">
      <c r="D55" s="88"/>
    </row>
    <row r="56" ht="12.75">
      <c r="D56" s="88"/>
    </row>
    <row r="57" ht="12.75">
      <c r="D57" s="88"/>
    </row>
    <row r="58" ht="12.75">
      <c r="D58" s="88"/>
    </row>
    <row r="59" ht="12.75">
      <c r="D59" s="88"/>
    </row>
  </sheetData>
  <sheetProtection/>
  <mergeCells count="10">
    <mergeCell ref="Z5:AB5"/>
    <mergeCell ref="AA1:AB1"/>
    <mergeCell ref="A3:AB3"/>
    <mergeCell ref="A5:A6"/>
    <mergeCell ref="B5:D5"/>
    <mergeCell ref="E5:G5"/>
    <mergeCell ref="N5:P5"/>
    <mergeCell ref="Q5:S5"/>
    <mergeCell ref="T5:V5"/>
    <mergeCell ref="W5:Y5"/>
  </mergeCells>
  <printOptions horizontalCentered="1"/>
  <pageMargins left="0.1968503937007874" right="0.1968503937007874" top="0.984251968503937" bottom="0.7874015748031497" header="0.7086614173228347" footer="0.31496062992125984"/>
  <pageSetup blackAndWhite="1" fitToHeight="1" fitToWidth="1" horizontalDpi="600" verticalDpi="600" orientation="landscape" paperSize="9" scale="42" r:id="rId1"/>
  <headerFooter alignWithMargins="0">
    <oddFooter>&amp;C&amp;20&amp;P+138
&amp;22
&amp;16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8"/>
  <sheetViews>
    <sheetView zoomScale="75" zoomScaleNormal="75" workbookViewId="0" topLeftCell="K10">
      <selection activeCell="Q27" sqref="Q27"/>
    </sheetView>
  </sheetViews>
  <sheetFormatPr defaultColWidth="9.125" defaultRowHeight="12.75"/>
  <cols>
    <col min="1" max="1" width="31.25390625" style="289" customWidth="1"/>
    <col min="2" max="2" width="14.125" style="289" customWidth="1"/>
    <col min="3" max="3" width="13.25390625" style="289" customWidth="1"/>
    <col min="4" max="4" width="16.00390625" style="289" bestFit="1" customWidth="1"/>
    <col min="5" max="6" width="12.625" style="289" customWidth="1"/>
    <col min="7" max="7" width="15.375" style="289" customWidth="1"/>
    <col min="8" max="9" width="11.625" style="289" customWidth="1"/>
    <col min="10" max="10" width="13.875" style="289" customWidth="1"/>
    <col min="11" max="12" width="12.625" style="289" customWidth="1"/>
    <col min="13" max="13" width="15.375" style="289" customWidth="1"/>
    <col min="14" max="14" width="12.00390625" style="289" customWidth="1"/>
    <col min="15" max="15" width="11.875" style="289" customWidth="1"/>
    <col min="16" max="16" width="15.375" style="289" customWidth="1"/>
    <col min="17" max="17" width="10.00390625" style="289" customWidth="1"/>
    <col min="18" max="18" width="10.25390625" style="289" customWidth="1"/>
    <col min="19" max="19" width="12.375" style="289" customWidth="1"/>
    <col min="20" max="21" width="13.625" style="289" customWidth="1"/>
    <col min="22" max="22" width="17.25390625" style="321" customWidth="1"/>
    <col min="23" max="24" width="9.125" style="289" customWidth="1"/>
    <col min="25" max="25" width="10.875" style="292" customWidth="1"/>
    <col min="26" max="26" width="14.75390625" style="289" customWidth="1"/>
    <col min="27" max="27" width="11.375" style="289" customWidth="1"/>
    <col min="28" max="28" width="11.75390625" style="289" customWidth="1"/>
    <col min="29" max="16384" width="9.125" style="289" customWidth="1"/>
  </cols>
  <sheetData>
    <row r="2" spans="1:25" s="282" customFormat="1" ht="24.75" customHeight="1">
      <c r="A2" s="282" t="s">
        <v>126</v>
      </c>
      <c r="F2" s="283"/>
      <c r="N2" s="284"/>
      <c r="U2" s="928" t="s">
        <v>376</v>
      </c>
      <c r="V2" s="928"/>
      <c r="Y2" s="285"/>
    </row>
    <row r="4" spans="1:25" s="286" customFormat="1" ht="24" customHeight="1">
      <c r="A4" s="929" t="s">
        <v>379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Y4" s="287"/>
    </row>
    <row r="5" spans="1:22" ht="55.5" customHeight="1" thickBot="1">
      <c r="A5" s="288"/>
      <c r="P5" s="290"/>
      <c r="V5" s="291" t="s">
        <v>91</v>
      </c>
    </row>
    <row r="6" spans="1:25" s="293" customFormat="1" ht="33" customHeight="1" thickBot="1">
      <c r="A6" s="930" t="s">
        <v>357</v>
      </c>
      <c r="B6" s="932" t="s">
        <v>93</v>
      </c>
      <c r="C6" s="933"/>
      <c r="D6" s="934"/>
      <c r="E6" s="932" t="s">
        <v>94</v>
      </c>
      <c r="F6" s="933"/>
      <c r="G6" s="934"/>
      <c r="H6" s="932" t="s">
        <v>95</v>
      </c>
      <c r="I6" s="933"/>
      <c r="J6" s="934"/>
      <c r="K6" s="932" t="s">
        <v>96</v>
      </c>
      <c r="L6" s="933"/>
      <c r="M6" s="934"/>
      <c r="N6" s="932" t="s">
        <v>97</v>
      </c>
      <c r="O6" s="933"/>
      <c r="P6" s="934"/>
      <c r="Q6" s="932" t="s">
        <v>99</v>
      </c>
      <c r="R6" s="933"/>
      <c r="S6" s="934"/>
      <c r="T6" s="932" t="s">
        <v>101</v>
      </c>
      <c r="U6" s="933"/>
      <c r="V6" s="934"/>
      <c r="Y6" s="294"/>
    </row>
    <row r="7" spans="1:22" ht="33" customHeight="1" thickBot="1">
      <c r="A7" s="931"/>
      <c r="B7" s="510" t="s">
        <v>102</v>
      </c>
      <c r="C7" s="511" t="s">
        <v>103</v>
      </c>
      <c r="D7" s="512" t="s">
        <v>104</v>
      </c>
      <c r="E7" s="510" t="s">
        <v>102</v>
      </c>
      <c r="F7" s="511" t="s">
        <v>103</v>
      </c>
      <c r="G7" s="512" t="s">
        <v>104</v>
      </c>
      <c r="H7" s="510" t="s">
        <v>102</v>
      </c>
      <c r="I7" s="511" t="s">
        <v>103</v>
      </c>
      <c r="J7" s="512" t="s">
        <v>104</v>
      </c>
      <c r="K7" s="510" t="s">
        <v>102</v>
      </c>
      <c r="L7" s="511" t="s">
        <v>103</v>
      </c>
      <c r="M7" s="512" t="s">
        <v>104</v>
      </c>
      <c r="N7" s="510" t="s">
        <v>102</v>
      </c>
      <c r="O7" s="511" t="s">
        <v>103</v>
      </c>
      <c r="P7" s="512" t="s">
        <v>104</v>
      </c>
      <c r="Q7" s="510" t="s">
        <v>102</v>
      </c>
      <c r="R7" s="511" t="s">
        <v>103</v>
      </c>
      <c r="S7" s="512" t="s">
        <v>104</v>
      </c>
      <c r="T7" s="510" t="s">
        <v>102</v>
      </c>
      <c r="U7" s="511" t="s">
        <v>103</v>
      </c>
      <c r="V7" s="512" t="s">
        <v>104</v>
      </c>
    </row>
    <row r="8" spans="1:28" ht="33" customHeight="1">
      <c r="A8" s="295" t="s">
        <v>358</v>
      </c>
      <c r="B8" s="296">
        <v>2746825</v>
      </c>
      <c r="C8" s="297">
        <v>2821573.0000000005</v>
      </c>
      <c r="D8" s="298">
        <v>2821573.0000000005</v>
      </c>
      <c r="E8" s="296">
        <v>928808</v>
      </c>
      <c r="F8" s="297">
        <v>953162</v>
      </c>
      <c r="G8" s="298">
        <v>935215.6228900001</v>
      </c>
      <c r="H8" s="296">
        <v>27323</v>
      </c>
      <c r="I8" s="297">
        <v>28041</v>
      </c>
      <c r="J8" s="298">
        <v>28041</v>
      </c>
      <c r="K8" s="296">
        <v>545623</v>
      </c>
      <c r="L8" s="297">
        <v>617926.0000000001</v>
      </c>
      <c r="M8" s="298">
        <v>531367.5169400002</v>
      </c>
      <c r="N8" s="296">
        <v>37427</v>
      </c>
      <c r="O8" s="297">
        <v>21652</v>
      </c>
      <c r="P8" s="298">
        <v>24121.5497</v>
      </c>
      <c r="Q8" s="296"/>
      <c r="R8" s="297"/>
      <c r="S8" s="298"/>
      <c r="T8" s="296">
        <f aca="true" t="shared" si="0" ref="T8:T22">SUM(B8,E8,H8,K8,N8,Q8)</f>
        <v>4286006</v>
      </c>
      <c r="U8" s="297">
        <f aca="true" t="shared" si="1" ref="U8:U22">SUM(C8,F8,I8,L8,O8,R8)</f>
        <v>4442354.000000001</v>
      </c>
      <c r="V8" s="298">
        <f aca="true" t="shared" si="2" ref="V8:V22">SUM(D8,G8,J8,M8,P8,S8)</f>
        <v>4340318.689530001</v>
      </c>
      <c r="Z8" s="299"/>
      <c r="AA8" s="299"/>
      <c r="AB8" s="299"/>
    </row>
    <row r="9" spans="1:28" ht="33" customHeight="1">
      <c r="A9" s="295" t="s">
        <v>359</v>
      </c>
      <c r="B9" s="300">
        <v>1481915</v>
      </c>
      <c r="C9" s="301">
        <v>1413136</v>
      </c>
      <c r="D9" s="302">
        <v>1413126.5071799997</v>
      </c>
      <c r="E9" s="300">
        <v>500954</v>
      </c>
      <c r="F9" s="301">
        <v>476654</v>
      </c>
      <c r="G9" s="302">
        <v>461797.34029</v>
      </c>
      <c r="H9" s="300">
        <v>14734</v>
      </c>
      <c r="I9" s="301">
        <v>14020</v>
      </c>
      <c r="J9" s="302">
        <v>14020</v>
      </c>
      <c r="K9" s="300">
        <v>299414</v>
      </c>
      <c r="L9" s="301">
        <v>322602.0000000002</v>
      </c>
      <c r="M9" s="302">
        <v>278280.0893400002</v>
      </c>
      <c r="N9" s="300">
        <v>26147</v>
      </c>
      <c r="O9" s="301">
        <v>13741</v>
      </c>
      <c r="P9" s="302">
        <v>11334.31886</v>
      </c>
      <c r="Q9" s="300"/>
      <c r="R9" s="301"/>
      <c r="S9" s="302"/>
      <c r="T9" s="300">
        <f t="shared" si="0"/>
        <v>2323164</v>
      </c>
      <c r="U9" s="301">
        <f t="shared" si="1"/>
        <v>2240153</v>
      </c>
      <c r="V9" s="302">
        <f t="shared" si="2"/>
        <v>2178558.25567</v>
      </c>
      <c r="Z9" s="299"/>
      <c r="AA9" s="299"/>
      <c r="AB9" s="299"/>
    </row>
    <row r="10" spans="1:28" ht="33" customHeight="1">
      <c r="A10" s="295" t="s">
        <v>360</v>
      </c>
      <c r="B10" s="300">
        <v>896925</v>
      </c>
      <c r="C10" s="301">
        <v>912515</v>
      </c>
      <c r="D10" s="302">
        <v>909514.399</v>
      </c>
      <c r="E10" s="300">
        <v>303285</v>
      </c>
      <c r="F10" s="301">
        <v>308335</v>
      </c>
      <c r="G10" s="302">
        <v>300615</v>
      </c>
      <c r="H10" s="300">
        <v>8920</v>
      </c>
      <c r="I10" s="301">
        <v>9069</v>
      </c>
      <c r="J10" s="302">
        <v>9039</v>
      </c>
      <c r="K10" s="300">
        <v>206348</v>
      </c>
      <c r="L10" s="301">
        <v>216977.99999999988</v>
      </c>
      <c r="M10" s="302">
        <v>197425.5167199999</v>
      </c>
      <c r="N10" s="300">
        <v>101053</v>
      </c>
      <c r="O10" s="301">
        <v>39594</v>
      </c>
      <c r="P10" s="302">
        <v>22997.1743</v>
      </c>
      <c r="Q10" s="300"/>
      <c r="R10" s="301"/>
      <c r="S10" s="302"/>
      <c r="T10" s="300">
        <f t="shared" si="0"/>
        <v>1516531</v>
      </c>
      <c r="U10" s="301">
        <f t="shared" si="1"/>
        <v>1486491</v>
      </c>
      <c r="V10" s="302">
        <f t="shared" si="2"/>
        <v>1439591.09002</v>
      </c>
      <c r="Z10" s="299"/>
      <c r="AA10" s="299"/>
      <c r="AB10" s="299"/>
    </row>
    <row r="11" spans="1:28" ht="33" customHeight="1">
      <c r="A11" s="295" t="s">
        <v>361</v>
      </c>
      <c r="B11" s="300">
        <v>904238</v>
      </c>
      <c r="C11" s="301">
        <v>907463.9999999999</v>
      </c>
      <c r="D11" s="302">
        <v>899754</v>
      </c>
      <c r="E11" s="300">
        <v>304828</v>
      </c>
      <c r="F11" s="301">
        <v>305407</v>
      </c>
      <c r="G11" s="302">
        <v>296155</v>
      </c>
      <c r="H11" s="300">
        <v>8965</v>
      </c>
      <c r="I11" s="301">
        <v>8983</v>
      </c>
      <c r="J11" s="302">
        <v>8911</v>
      </c>
      <c r="K11" s="300">
        <v>198308</v>
      </c>
      <c r="L11" s="301">
        <v>214385.99999999997</v>
      </c>
      <c r="M11" s="302">
        <v>199319.32983</v>
      </c>
      <c r="N11" s="300">
        <v>12662</v>
      </c>
      <c r="O11" s="301">
        <v>19735</v>
      </c>
      <c r="P11" s="302">
        <v>21969.91518</v>
      </c>
      <c r="Q11" s="300"/>
      <c r="R11" s="301"/>
      <c r="S11" s="302"/>
      <c r="T11" s="300">
        <f t="shared" si="0"/>
        <v>1429001</v>
      </c>
      <c r="U11" s="301">
        <f t="shared" si="1"/>
        <v>1455975</v>
      </c>
      <c r="V11" s="302">
        <f t="shared" si="2"/>
        <v>1426109.24501</v>
      </c>
      <c r="Z11" s="299"/>
      <c r="AA11" s="299"/>
      <c r="AB11" s="299"/>
    </row>
    <row r="12" spans="1:28" ht="33" customHeight="1">
      <c r="A12" s="295" t="s">
        <v>362</v>
      </c>
      <c r="B12" s="300">
        <v>504976</v>
      </c>
      <c r="C12" s="301">
        <v>524485.0000000001</v>
      </c>
      <c r="D12" s="302">
        <v>523717.0000000001</v>
      </c>
      <c r="E12" s="300">
        <v>170767</v>
      </c>
      <c r="F12" s="301">
        <v>176725</v>
      </c>
      <c r="G12" s="302">
        <v>172760.00811000002</v>
      </c>
      <c r="H12" s="300">
        <v>5022</v>
      </c>
      <c r="I12" s="301">
        <v>5197</v>
      </c>
      <c r="J12" s="302">
        <v>5189</v>
      </c>
      <c r="K12" s="300">
        <v>106012</v>
      </c>
      <c r="L12" s="301">
        <v>111734.00000000003</v>
      </c>
      <c r="M12" s="302">
        <v>102298.36391</v>
      </c>
      <c r="N12" s="300">
        <v>12286</v>
      </c>
      <c r="O12" s="301">
        <v>22130</v>
      </c>
      <c r="P12" s="302">
        <v>56983.3806</v>
      </c>
      <c r="Q12" s="300"/>
      <c r="R12" s="301"/>
      <c r="S12" s="302"/>
      <c r="T12" s="300">
        <f t="shared" si="0"/>
        <v>799063</v>
      </c>
      <c r="U12" s="301">
        <f t="shared" si="1"/>
        <v>840271.0000000001</v>
      </c>
      <c r="V12" s="302">
        <f t="shared" si="2"/>
        <v>860947.7526200002</v>
      </c>
      <c r="Z12" s="299"/>
      <c r="AA12" s="299"/>
      <c r="AB12" s="299"/>
    </row>
    <row r="13" spans="1:28" ht="33" customHeight="1">
      <c r="A13" s="295" t="s">
        <v>363</v>
      </c>
      <c r="B13" s="300">
        <v>1210304</v>
      </c>
      <c r="C13" s="301">
        <v>1200976</v>
      </c>
      <c r="D13" s="302">
        <v>1321584.9140000003</v>
      </c>
      <c r="E13" s="300">
        <v>409530</v>
      </c>
      <c r="F13" s="301">
        <v>405548</v>
      </c>
      <c r="G13" s="302">
        <v>441520.25079</v>
      </c>
      <c r="H13" s="300">
        <v>12045</v>
      </c>
      <c r="I13" s="301">
        <v>11928</v>
      </c>
      <c r="J13" s="302">
        <v>13134.095</v>
      </c>
      <c r="K13" s="300">
        <v>258210</v>
      </c>
      <c r="L13" s="301">
        <v>316509.9999999999</v>
      </c>
      <c r="M13" s="302">
        <v>273991.20088999986</v>
      </c>
      <c r="N13" s="300">
        <v>78119</v>
      </c>
      <c r="O13" s="301">
        <v>55633</v>
      </c>
      <c r="P13" s="302">
        <v>28479.3982</v>
      </c>
      <c r="Q13" s="300"/>
      <c r="R13" s="301"/>
      <c r="S13" s="302"/>
      <c r="T13" s="300">
        <f t="shared" si="0"/>
        <v>1968208</v>
      </c>
      <c r="U13" s="301">
        <f t="shared" si="1"/>
        <v>1990595</v>
      </c>
      <c r="V13" s="302">
        <f t="shared" si="2"/>
        <v>2078709.85888</v>
      </c>
      <c r="Z13" s="299"/>
      <c r="AA13" s="299"/>
      <c r="AB13" s="299"/>
    </row>
    <row r="14" spans="1:28" ht="33" customHeight="1">
      <c r="A14" s="295" t="s">
        <v>364</v>
      </c>
      <c r="B14" s="300">
        <v>510727</v>
      </c>
      <c r="C14" s="301">
        <v>523873.99999999994</v>
      </c>
      <c r="D14" s="302">
        <v>523873.99999999994</v>
      </c>
      <c r="E14" s="300">
        <v>172545</v>
      </c>
      <c r="F14" s="301">
        <v>176712</v>
      </c>
      <c r="G14" s="302">
        <v>173156.84492</v>
      </c>
      <c r="H14" s="300">
        <v>5075</v>
      </c>
      <c r="I14" s="301">
        <v>5196</v>
      </c>
      <c r="J14" s="302">
        <v>5196</v>
      </c>
      <c r="K14" s="300">
        <v>119420</v>
      </c>
      <c r="L14" s="301">
        <v>135508.00000000003</v>
      </c>
      <c r="M14" s="302">
        <v>120048.43240000003</v>
      </c>
      <c r="N14" s="300">
        <v>44559</v>
      </c>
      <c r="O14" s="301">
        <v>52594</v>
      </c>
      <c r="P14" s="302">
        <v>29182.53304</v>
      </c>
      <c r="Q14" s="300"/>
      <c r="R14" s="301"/>
      <c r="S14" s="302"/>
      <c r="T14" s="300">
        <f t="shared" si="0"/>
        <v>852326</v>
      </c>
      <c r="U14" s="301">
        <f t="shared" si="1"/>
        <v>893884</v>
      </c>
      <c r="V14" s="302">
        <f t="shared" si="2"/>
        <v>851457.81036</v>
      </c>
      <c r="Z14" s="299"/>
      <c r="AA14" s="299"/>
      <c r="AB14" s="299"/>
    </row>
    <row r="15" spans="1:28" ht="33" customHeight="1">
      <c r="A15" s="295" t="s">
        <v>365</v>
      </c>
      <c r="B15" s="300">
        <v>688735</v>
      </c>
      <c r="C15" s="301">
        <v>710621.9999999999</v>
      </c>
      <c r="D15" s="302">
        <v>710638.7999999999</v>
      </c>
      <c r="E15" s="300">
        <v>232212</v>
      </c>
      <c r="F15" s="301">
        <v>239337</v>
      </c>
      <c r="G15" s="302">
        <v>236755</v>
      </c>
      <c r="H15" s="300">
        <v>6830</v>
      </c>
      <c r="I15" s="301">
        <v>7039</v>
      </c>
      <c r="J15" s="302">
        <v>7039</v>
      </c>
      <c r="K15" s="300">
        <v>163909</v>
      </c>
      <c r="L15" s="301">
        <v>183010</v>
      </c>
      <c r="M15" s="302">
        <v>166526.52898</v>
      </c>
      <c r="N15" s="300">
        <v>4265</v>
      </c>
      <c r="O15" s="301">
        <v>11440</v>
      </c>
      <c r="P15" s="302">
        <v>7404.7063100000005</v>
      </c>
      <c r="Q15" s="300"/>
      <c r="R15" s="301"/>
      <c r="S15" s="302"/>
      <c r="T15" s="300">
        <f t="shared" si="0"/>
        <v>1095951</v>
      </c>
      <c r="U15" s="301">
        <f t="shared" si="1"/>
        <v>1151448</v>
      </c>
      <c r="V15" s="302">
        <f t="shared" si="2"/>
        <v>1128364.03529</v>
      </c>
      <c r="Z15" s="299"/>
      <c r="AA15" s="299"/>
      <c r="AB15" s="299"/>
    </row>
    <row r="16" spans="1:28" ht="33" customHeight="1">
      <c r="A16" s="295" t="s">
        <v>366</v>
      </c>
      <c r="B16" s="300">
        <v>481873</v>
      </c>
      <c r="C16" s="301">
        <v>491154</v>
      </c>
      <c r="D16" s="302">
        <v>491427.649</v>
      </c>
      <c r="E16" s="300">
        <v>162546</v>
      </c>
      <c r="F16" s="301">
        <v>165565</v>
      </c>
      <c r="G16" s="302">
        <v>163657.139</v>
      </c>
      <c r="H16" s="300">
        <v>4781</v>
      </c>
      <c r="I16" s="301">
        <v>4869</v>
      </c>
      <c r="J16" s="302">
        <v>4873.20947</v>
      </c>
      <c r="K16" s="300">
        <v>103679</v>
      </c>
      <c r="L16" s="301">
        <v>115129</v>
      </c>
      <c r="M16" s="302">
        <v>110951.03347999998</v>
      </c>
      <c r="N16" s="300">
        <v>7852</v>
      </c>
      <c r="O16" s="301">
        <v>44212</v>
      </c>
      <c r="P16" s="302">
        <v>55531.52307999999</v>
      </c>
      <c r="Q16" s="300"/>
      <c r="R16" s="301"/>
      <c r="S16" s="302"/>
      <c r="T16" s="300">
        <f t="shared" si="0"/>
        <v>760731</v>
      </c>
      <c r="U16" s="301">
        <f t="shared" si="1"/>
        <v>820929</v>
      </c>
      <c r="V16" s="302">
        <f t="shared" si="2"/>
        <v>826440.5540299999</v>
      </c>
      <c r="Z16" s="299"/>
      <c r="AA16" s="299"/>
      <c r="AB16" s="299"/>
    </row>
    <row r="17" spans="1:28" ht="33" customHeight="1">
      <c r="A17" s="295" t="s">
        <v>367</v>
      </c>
      <c r="B17" s="300">
        <v>471672</v>
      </c>
      <c r="C17" s="301">
        <v>477735</v>
      </c>
      <c r="D17" s="302">
        <v>478660.5</v>
      </c>
      <c r="E17" s="300">
        <v>158890</v>
      </c>
      <c r="F17" s="301">
        <v>160678</v>
      </c>
      <c r="G17" s="302">
        <v>157873.537</v>
      </c>
      <c r="H17" s="300">
        <v>4673</v>
      </c>
      <c r="I17" s="301">
        <v>4726</v>
      </c>
      <c r="J17" s="302">
        <v>4725.301</v>
      </c>
      <c r="K17" s="300">
        <v>85499</v>
      </c>
      <c r="L17" s="301">
        <v>100854.99999999997</v>
      </c>
      <c r="M17" s="302">
        <v>90762.64107999997</v>
      </c>
      <c r="N17" s="300">
        <v>11712</v>
      </c>
      <c r="O17" s="301">
        <v>7940</v>
      </c>
      <c r="P17" s="302">
        <v>7043.14333</v>
      </c>
      <c r="Q17" s="300"/>
      <c r="R17" s="301"/>
      <c r="S17" s="302"/>
      <c r="T17" s="300">
        <f t="shared" si="0"/>
        <v>732446</v>
      </c>
      <c r="U17" s="301">
        <f t="shared" si="1"/>
        <v>751934</v>
      </c>
      <c r="V17" s="302">
        <f t="shared" si="2"/>
        <v>739065.12241</v>
      </c>
      <c r="Z17" s="299"/>
      <c r="AA17" s="299"/>
      <c r="AB17" s="299"/>
    </row>
    <row r="18" spans="1:28" ht="33" customHeight="1">
      <c r="A18" s="295" t="s">
        <v>368</v>
      </c>
      <c r="B18" s="300">
        <v>1376856</v>
      </c>
      <c r="C18" s="301">
        <v>1411343.9999999998</v>
      </c>
      <c r="D18" s="302">
        <v>1410534.9189999998</v>
      </c>
      <c r="E18" s="300">
        <v>464937</v>
      </c>
      <c r="F18" s="301">
        <v>475895</v>
      </c>
      <c r="G18" s="302">
        <v>467132.021</v>
      </c>
      <c r="H18" s="300">
        <v>13675</v>
      </c>
      <c r="I18" s="301">
        <v>13997</v>
      </c>
      <c r="J18" s="302">
        <v>13997.41</v>
      </c>
      <c r="K18" s="300">
        <v>259538</v>
      </c>
      <c r="L18" s="301">
        <v>290359</v>
      </c>
      <c r="M18" s="302">
        <v>254172.47183000002</v>
      </c>
      <c r="N18" s="300">
        <v>32762</v>
      </c>
      <c r="O18" s="301">
        <v>40845</v>
      </c>
      <c r="P18" s="302">
        <v>32351.837870000003</v>
      </c>
      <c r="Q18" s="300"/>
      <c r="R18" s="301"/>
      <c r="S18" s="302"/>
      <c r="T18" s="300">
        <f t="shared" si="0"/>
        <v>2147768</v>
      </c>
      <c r="U18" s="301">
        <f t="shared" si="1"/>
        <v>2232440</v>
      </c>
      <c r="V18" s="302">
        <f t="shared" si="2"/>
        <v>2178188.6596999997</v>
      </c>
      <c r="Z18" s="299"/>
      <c r="AA18" s="299"/>
      <c r="AB18" s="299"/>
    </row>
    <row r="19" spans="1:28" s="306" customFormat="1" ht="33" customHeight="1">
      <c r="A19" s="295" t="s">
        <v>369</v>
      </c>
      <c r="B19" s="303">
        <v>467145</v>
      </c>
      <c r="C19" s="304">
        <v>492602</v>
      </c>
      <c r="D19" s="305">
        <v>492601.99938</v>
      </c>
      <c r="E19" s="303">
        <v>157910</v>
      </c>
      <c r="F19" s="304">
        <v>166299</v>
      </c>
      <c r="G19" s="305">
        <v>163326.859</v>
      </c>
      <c r="H19" s="303">
        <v>4644</v>
      </c>
      <c r="I19" s="304">
        <v>4891</v>
      </c>
      <c r="J19" s="305">
        <v>4891</v>
      </c>
      <c r="K19" s="303">
        <v>86173</v>
      </c>
      <c r="L19" s="304">
        <v>94502</v>
      </c>
      <c r="M19" s="305">
        <v>82219.36674</v>
      </c>
      <c r="N19" s="303">
        <v>20966</v>
      </c>
      <c r="O19" s="304">
        <v>24531</v>
      </c>
      <c r="P19" s="305">
        <v>28662.19584</v>
      </c>
      <c r="Q19" s="303"/>
      <c r="R19" s="304"/>
      <c r="S19" s="305"/>
      <c r="T19" s="303">
        <f t="shared" si="0"/>
        <v>736838</v>
      </c>
      <c r="U19" s="304">
        <f t="shared" si="1"/>
        <v>782825</v>
      </c>
      <c r="V19" s="305">
        <f t="shared" si="2"/>
        <v>771701.42096</v>
      </c>
      <c r="Y19" s="307"/>
      <c r="Z19" s="299"/>
      <c r="AA19" s="299"/>
      <c r="AB19" s="299"/>
    </row>
    <row r="20" spans="1:28" ht="33" customHeight="1">
      <c r="A20" s="295" t="s">
        <v>370</v>
      </c>
      <c r="B20" s="300">
        <v>673010</v>
      </c>
      <c r="C20" s="301">
        <v>681795</v>
      </c>
      <c r="D20" s="302">
        <v>681795</v>
      </c>
      <c r="E20" s="300">
        <v>227447</v>
      </c>
      <c r="F20" s="301">
        <v>230056</v>
      </c>
      <c r="G20" s="302">
        <v>228156</v>
      </c>
      <c r="H20" s="300">
        <v>6690</v>
      </c>
      <c r="I20" s="301">
        <v>6766</v>
      </c>
      <c r="J20" s="302">
        <v>6766</v>
      </c>
      <c r="K20" s="300">
        <v>146488</v>
      </c>
      <c r="L20" s="301">
        <v>160353.99999999997</v>
      </c>
      <c r="M20" s="302">
        <v>142454.49751000002</v>
      </c>
      <c r="N20" s="300">
        <v>16893</v>
      </c>
      <c r="O20" s="301">
        <v>46201</v>
      </c>
      <c r="P20" s="302">
        <v>42191.399</v>
      </c>
      <c r="Q20" s="300"/>
      <c r="R20" s="301"/>
      <c r="S20" s="302"/>
      <c r="T20" s="300">
        <f t="shared" si="0"/>
        <v>1070528</v>
      </c>
      <c r="U20" s="301">
        <f t="shared" si="1"/>
        <v>1125172</v>
      </c>
      <c r="V20" s="302">
        <f t="shared" si="2"/>
        <v>1101362.89651</v>
      </c>
      <c r="Z20" s="299"/>
      <c r="AA20" s="299"/>
      <c r="AB20" s="299"/>
    </row>
    <row r="21" spans="1:28" ht="33" customHeight="1">
      <c r="A21" s="295" t="s">
        <v>371</v>
      </c>
      <c r="B21" s="300">
        <v>1519528</v>
      </c>
      <c r="C21" s="301">
        <v>1570242.0000000002</v>
      </c>
      <c r="D21" s="302">
        <v>1569784.0430000003</v>
      </c>
      <c r="E21" s="300">
        <v>513778</v>
      </c>
      <c r="F21" s="301">
        <v>530111</v>
      </c>
      <c r="G21" s="302">
        <v>519773</v>
      </c>
      <c r="H21" s="300">
        <v>15111</v>
      </c>
      <c r="I21" s="301">
        <v>15591</v>
      </c>
      <c r="J21" s="302">
        <v>15591</v>
      </c>
      <c r="K21" s="300">
        <v>333005</v>
      </c>
      <c r="L21" s="301">
        <v>349891.99999999994</v>
      </c>
      <c r="M21" s="302">
        <v>313135.64099</v>
      </c>
      <c r="N21" s="300">
        <v>6911</v>
      </c>
      <c r="O21" s="301">
        <v>19605</v>
      </c>
      <c r="P21" s="302">
        <v>22503.20159</v>
      </c>
      <c r="Q21" s="300"/>
      <c r="R21" s="301"/>
      <c r="S21" s="302"/>
      <c r="T21" s="300">
        <f t="shared" si="0"/>
        <v>2388333</v>
      </c>
      <c r="U21" s="301">
        <f t="shared" si="1"/>
        <v>2485441</v>
      </c>
      <c r="V21" s="302">
        <f t="shared" si="2"/>
        <v>2440786.885580001</v>
      </c>
      <c r="Z21" s="299"/>
      <c r="AA21" s="299"/>
      <c r="AB21" s="299"/>
    </row>
    <row r="22" spans="1:28" ht="33" customHeight="1">
      <c r="A22" s="295" t="s">
        <v>372</v>
      </c>
      <c r="B22" s="300">
        <v>183</v>
      </c>
      <c r="C22" s="301">
        <v>0</v>
      </c>
      <c r="D22" s="302">
        <v>0</v>
      </c>
      <c r="E22" s="300"/>
      <c r="F22" s="301"/>
      <c r="G22" s="302"/>
      <c r="H22" s="300"/>
      <c r="I22" s="301"/>
      <c r="J22" s="302"/>
      <c r="K22" s="300"/>
      <c r="L22" s="301"/>
      <c r="M22" s="302"/>
      <c r="N22" s="300"/>
      <c r="O22" s="301"/>
      <c r="P22" s="302"/>
      <c r="Q22" s="300"/>
      <c r="R22" s="301"/>
      <c r="S22" s="302"/>
      <c r="T22" s="300">
        <f t="shared" si="0"/>
        <v>183</v>
      </c>
      <c r="U22" s="301">
        <f t="shared" si="1"/>
        <v>0</v>
      </c>
      <c r="V22" s="302">
        <f t="shared" si="2"/>
        <v>0</v>
      </c>
      <c r="Z22" s="299"/>
      <c r="AA22" s="299"/>
      <c r="AB22" s="299"/>
    </row>
    <row r="23" spans="1:28" s="312" customFormat="1" ht="33" customHeight="1">
      <c r="A23" s="308" t="s">
        <v>373</v>
      </c>
      <c r="B23" s="309">
        <f aca="true" t="shared" si="3" ref="B23:V23">SUM(B8:B22)</f>
        <v>13934912</v>
      </c>
      <c r="C23" s="310">
        <f t="shared" si="3"/>
        <v>14139517</v>
      </c>
      <c r="D23" s="311">
        <f t="shared" si="3"/>
        <v>14248586.730560001</v>
      </c>
      <c r="E23" s="309">
        <f t="shared" si="3"/>
        <v>4708437</v>
      </c>
      <c r="F23" s="310">
        <f t="shared" si="3"/>
        <v>4770484</v>
      </c>
      <c r="G23" s="311">
        <f t="shared" si="3"/>
        <v>4717893.623000001</v>
      </c>
      <c r="H23" s="309">
        <f t="shared" si="3"/>
        <v>138488</v>
      </c>
      <c r="I23" s="310">
        <f t="shared" si="3"/>
        <v>140313</v>
      </c>
      <c r="J23" s="311">
        <f t="shared" si="3"/>
        <v>141413.01547</v>
      </c>
      <c r="K23" s="309">
        <f t="shared" si="3"/>
        <v>2911626</v>
      </c>
      <c r="L23" s="310">
        <f t="shared" si="3"/>
        <v>3229745</v>
      </c>
      <c r="M23" s="311">
        <f t="shared" si="3"/>
        <v>2862952.63064</v>
      </c>
      <c r="N23" s="309">
        <f t="shared" si="3"/>
        <v>413614</v>
      </c>
      <c r="O23" s="310">
        <f t="shared" si="3"/>
        <v>419853</v>
      </c>
      <c r="P23" s="311">
        <f t="shared" si="3"/>
        <v>390756.2769</v>
      </c>
      <c r="Q23" s="309">
        <f t="shared" si="3"/>
        <v>0</v>
      </c>
      <c r="R23" s="310">
        <f t="shared" si="3"/>
        <v>0</v>
      </c>
      <c r="S23" s="311">
        <f t="shared" si="3"/>
        <v>0</v>
      </c>
      <c r="T23" s="309">
        <f t="shared" si="3"/>
        <v>22107077</v>
      </c>
      <c r="U23" s="310">
        <f t="shared" si="3"/>
        <v>22699912</v>
      </c>
      <c r="V23" s="311">
        <f t="shared" si="3"/>
        <v>22361602.276570003</v>
      </c>
      <c r="Y23" s="313"/>
      <c r="Z23" s="299"/>
      <c r="AA23" s="299"/>
      <c r="AB23" s="299"/>
    </row>
    <row r="24" spans="1:28" s="306" customFormat="1" ht="33" customHeight="1" thickBot="1">
      <c r="A24" s="314" t="s">
        <v>374</v>
      </c>
      <c r="B24" s="303">
        <v>2688351</v>
      </c>
      <c r="C24" s="304">
        <f>2553804+1311</f>
        <v>2555115</v>
      </c>
      <c r="D24" s="305">
        <f>2526589.41344+1134</f>
        <v>2527723.41344</v>
      </c>
      <c r="E24" s="303">
        <v>901192</v>
      </c>
      <c r="F24" s="304">
        <v>848202.9999999998</v>
      </c>
      <c r="G24" s="305">
        <f>829731.89876+37</f>
        <v>829768.89876</v>
      </c>
      <c r="H24" s="303">
        <v>26026</v>
      </c>
      <c r="I24" s="304">
        <v>24809</v>
      </c>
      <c r="J24" s="305">
        <v>24665.92</v>
      </c>
      <c r="K24" s="303">
        <v>1767501</v>
      </c>
      <c r="L24" s="304">
        <v>1574657.0000000012</v>
      </c>
      <c r="M24" s="305">
        <v>1212974.9331800002</v>
      </c>
      <c r="N24" s="303">
        <v>303803</v>
      </c>
      <c r="O24" s="304">
        <v>296374</v>
      </c>
      <c r="P24" s="305">
        <v>236077.14544</v>
      </c>
      <c r="Q24" s="303">
        <v>7102</v>
      </c>
      <c r="R24" s="304">
        <v>32818</v>
      </c>
      <c r="S24" s="305">
        <v>19039.512290000006</v>
      </c>
      <c r="T24" s="303">
        <f>SUM(B24,E24,H24,K24,N24,Q24)</f>
        <v>5693975</v>
      </c>
      <c r="U24" s="304">
        <f>SUM(C24,F24,I24,L24,O24,R24)-1311</f>
        <v>5330665.000000001</v>
      </c>
      <c r="V24" s="305">
        <f>SUM(D24,G24,J24,M24,P24,S24)-1134-37</f>
        <v>4849078.823109999</v>
      </c>
      <c r="W24" s="289"/>
      <c r="X24" s="289"/>
      <c r="Y24" s="292"/>
      <c r="Z24" s="299"/>
      <c r="AA24" s="299"/>
      <c r="AB24" s="299"/>
    </row>
    <row r="25" spans="1:25" s="312" customFormat="1" ht="33" customHeight="1" thickBot="1">
      <c r="A25" s="315" t="s">
        <v>375</v>
      </c>
      <c r="B25" s="316">
        <f aca="true" t="shared" si="4" ref="B25:V25">SUM(B23:B24)</f>
        <v>16623263</v>
      </c>
      <c r="C25" s="317">
        <f t="shared" si="4"/>
        <v>16694632</v>
      </c>
      <c r="D25" s="318">
        <f t="shared" si="4"/>
        <v>16776310.144000001</v>
      </c>
      <c r="E25" s="316">
        <f t="shared" si="4"/>
        <v>5609629</v>
      </c>
      <c r="F25" s="317">
        <f t="shared" si="4"/>
        <v>5618687</v>
      </c>
      <c r="G25" s="318">
        <f t="shared" si="4"/>
        <v>5547662.521760001</v>
      </c>
      <c r="H25" s="316">
        <f t="shared" si="4"/>
        <v>164514</v>
      </c>
      <c r="I25" s="317">
        <f t="shared" si="4"/>
        <v>165122</v>
      </c>
      <c r="J25" s="318">
        <f t="shared" si="4"/>
        <v>166078.93547000003</v>
      </c>
      <c r="K25" s="316">
        <f t="shared" si="4"/>
        <v>4679127</v>
      </c>
      <c r="L25" s="317">
        <f t="shared" si="4"/>
        <v>4804402.000000001</v>
      </c>
      <c r="M25" s="318">
        <f t="shared" si="4"/>
        <v>4075927.5638200003</v>
      </c>
      <c r="N25" s="316">
        <f t="shared" si="4"/>
        <v>717417</v>
      </c>
      <c r="O25" s="317">
        <f t="shared" si="4"/>
        <v>716227</v>
      </c>
      <c r="P25" s="318">
        <f t="shared" si="4"/>
        <v>626833.42234</v>
      </c>
      <c r="Q25" s="316">
        <f t="shared" si="4"/>
        <v>7102</v>
      </c>
      <c r="R25" s="317">
        <f t="shared" si="4"/>
        <v>32818</v>
      </c>
      <c r="S25" s="318">
        <f t="shared" si="4"/>
        <v>19039.512290000006</v>
      </c>
      <c r="T25" s="316">
        <f t="shared" si="4"/>
        <v>27801052</v>
      </c>
      <c r="U25" s="317">
        <f t="shared" si="4"/>
        <v>28030577</v>
      </c>
      <c r="V25" s="318">
        <f t="shared" si="4"/>
        <v>27210681.099680003</v>
      </c>
      <c r="Y25" s="313"/>
    </row>
    <row r="26" spans="1:16" ht="15.75" customHeight="1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</row>
    <row r="27" spans="1:22" ht="18" customHeight="1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3"/>
    </row>
    <row r="28" spans="12:16" ht="12.75">
      <c r="L28" s="299"/>
      <c r="N28" s="299"/>
      <c r="O28" s="299"/>
      <c r="P28" s="299"/>
    </row>
    <row r="29" spans="1:21" s="513" customFormat="1" ht="18" customHeight="1">
      <c r="A29" s="421" t="s">
        <v>330</v>
      </c>
      <c r="B29" s="422"/>
      <c r="K29" s="422" t="s">
        <v>147</v>
      </c>
      <c r="U29" s="422" t="s">
        <v>148</v>
      </c>
    </row>
    <row r="30" spans="12:16" ht="12.75">
      <c r="L30" s="299"/>
      <c r="N30" s="299"/>
      <c r="O30" s="299"/>
      <c r="P30" s="299"/>
    </row>
    <row r="31" spans="12:16" ht="12.75">
      <c r="L31" s="299"/>
      <c r="N31" s="299"/>
      <c r="O31" s="299"/>
      <c r="P31" s="299"/>
    </row>
    <row r="32" spans="12:16" ht="12.75">
      <c r="L32" s="299"/>
      <c r="N32" s="299"/>
      <c r="O32" s="299"/>
      <c r="P32" s="299"/>
    </row>
    <row r="33" spans="12:16" ht="12.75">
      <c r="L33" s="299"/>
      <c r="N33" s="299"/>
      <c r="O33" s="299"/>
      <c r="P33" s="299"/>
    </row>
    <row r="34" spans="12:16" ht="12.75">
      <c r="L34" s="299"/>
      <c r="N34" s="299"/>
      <c r="O34" s="299"/>
      <c r="P34" s="299"/>
    </row>
    <row r="35" spans="12:16" ht="12.75">
      <c r="L35" s="299"/>
      <c r="N35" s="299"/>
      <c r="O35" s="299"/>
      <c r="P35" s="299"/>
    </row>
    <row r="36" spans="12:16" ht="12.75">
      <c r="L36" s="299"/>
      <c r="N36" s="299"/>
      <c r="O36" s="299"/>
      <c r="P36" s="299"/>
    </row>
    <row r="37" spans="12:16" ht="12.75">
      <c r="L37" s="299"/>
      <c r="M37" s="324"/>
      <c r="N37" s="299"/>
      <c r="O37" s="299"/>
      <c r="P37" s="299"/>
    </row>
    <row r="38" spans="12:16" ht="12.75">
      <c r="L38" s="299"/>
      <c r="N38" s="299"/>
      <c r="O38" s="299"/>
      <c r="P38" s="299"/>
    </row>
  </sheetData>
  <mergeCells count="10">
    <mergeCell ref="U2:V2"/>
    <mergeCell ref="A4:V4"/>
    <mergeCell ref="A6:A7"/>
    <mergeCell ref="B6:D6"/>
    <mergeCell ref="E6:G6"/>
    <mergeCell ref="H6:J6"/>
    <mergeCell ref="K6:M6"/>
    <mergeCell ref="N6:P6"/>
    <mergeCell ref="Q6:S6"/>
    <mergeCell ref="T6:V6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45" r:id="rId1"/>
  <headerFooter alignWithMargins="0">
    <oddFooter>&amp;C&amp;16&amp;P+139
&amp;10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34"/>
  <sheetViews>
    <sheetView zoomScale="75" zoomScaleNormal="75" workbookViewId="0" topLeftCell="A7">
      <selection activeCell="A17" sqref="A17"/>
    </sheetView>
  </sheetViews>
  <sheetFormatPr defaultColWidth="9.75390625" defaultRowHeight="19.5" customHeight="1"/>
  <cols>
    <col min="1" max="1" width="35.375" style="211" customWidth="1"/>
    <col min="2" max="4" width="9.75390625" style="211" hidden="1" customWidth="1"/>
    <col min="5" max="5" width="9.75390625" style="211" customWidth="1"/>
    <col min="6" max="6" width="10.25390625" style="211" customWidth="1"/>
    <col min="7" max="7" width="10.375" style="211" customWidth="1"/>
    <col min="8" max="10" width="10.25390625" style="211" customWidth="1"/>
    <col min="11" max="13" width="9.75390625" style="211" customWidth="1"/>
    <col min="14" max="15" width="10.25390625" style="211" customWidth="1"/>
    <col min="16" max="16" width="10.375" style="211" bestFit="1" customWidth="1"/>
    <col min="17" max="17" width="10.00390625" style="211" customWidth="1"/>
    <col min="18" max="18" width="11.125" style="211" bestFit="1" customWidth="1"/>
    <col min="19" max="19" width="10.625" style="211" customWidth="1"/>
    <col min="20" max="22" width="9.75390625" style="211" customWidth="1"/>
    <col min="23" max="23" width="11.625" style="211" hidden="1" customWidth="1"/>
    <col min="24" max="24" width="11.125" style="211" bestFit="1" customWidth="1"/>
    <col min="25" max="25" width="12.125" style="211" customWidth="1"/>
    <col min="26" max="26" width="16.00390625" style="211" customWidth="1"/>
    <col min="27" max="27" width="3.625" style="211" customWidth="1"/>
    <col min="28" max="242" width="9.125" style="211" customWidth="1"/>
    <col min="243" max="243" width="4.25390625" style="211" customWidth="1"/>
    <col min="244" max="244" width="30.625" style="211" customWidth="1"/>
    <col min="245" max="247" width="0" style="211" hidden="1" customWidth="1"/>
    <col min="248" max="16384" width="9.75390625" style="211" customWidth="1"/>
  </cols>
  <sheetData>
    <row r="1" ht="12.75" customHeight="1"/>
    <row r="2" ht="12.75" customHeight="1"/>
    <row r="3" ht="7.5" customHeight="1"/>
    <row r="4" spans="1:26" ht="17.25" customHeight="1">
      <c r="A4" s="212" t="s">
        <v>126</v>
      </c>
      <c r="Y4" s="935" t="s">
        <v>380</v>
      </c>
      <c r="Z4" s="935"/>
    </row>
    <row r="5" spans="1:26" ht="12.75" customHeight="1">
      <c r="A5" s="212"/>
      <c r="Y5" s="515"/>
      <c r="Z5" s="515"/>
    </row>
    <row r="6" spans="1:26" s="578" customFormat="1" ht="19.5" customHeight="1">
      <c r="A6" s="936" t="s">
        <v>129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936"/>
      <c r="W6" s="936"/>
      <c r="X6" s="936"/>
      <c r="Y6" s="936"/>
      <c r="Z6" s="936"/>
    </row>
    <row r="7" ht="12.75" customHeight="1"/>
    <row r="8" spans="1:27" s="214" customFormat="1" ht="12.75" customHeight="1" thickBot="1">
      <c r="A8" s="213"/>
      <c r="B8" s="213"/>
      <c r="C8" s="213"/>
      <c r="D8" s="213"/>
      <c r="Q8" s="215"/>
      <c r="R8" s="215"/>
      <c r="S8" s="215"/>
      <c r="T8" s="215"/>
      <c r="U8" s="215"/>
      <c r="V8" s="216"/>
      <c r="W8" s="216"/>
      <c r="X8" s="215"/>
      <c r="Y8" s="215"/>
      <c r="Z8" s="514" t="s">
        <v>91</v>
      </c>
      <c r="AA8" s="215"/>
    </row>
    <row r="9" spans="1:27" s="516" customFormat="1" ht="34.5" customHeight="1" thickBot="1">
      <c r="A9" s="517"/>
      <c r="B9" s="937" t="s">
        <v>130</v>
      </c>
      <c r="C9" s="938"/>
      <c r="D9" s="939"/>
      <c r="E9" s="940" t="s">
        <v>131</v>
      </c>
      <c r="F9" s="941"/>
      <c r="G9" s="942"/>
      <c r="H9" s="520"/>
      <c r="I9" s="521" t="s">
        <v>94</v>
      </c>
      <c r="J9" s="522"/>
      <c r="K9" s="520"/>
      <c r="L9" s="519" t="s">
        <v>95</v>
      </c>
      <c r="M9" s="522"/>
      <c r="N9" s="520"/>
      <c r="O9" s="519" t="s">
        <v>96</v>
      </c>
      <c r="P9" s="522"/>
      <c r="Q9" s="940" t="s">
        <v>132</v>
      </c>
      <c r="R9" s="941"/>
      <c r="S9" s="942"/>
      <c r="T9" s="940" t="s">
        <v>99</v>
      </c>
      <c r="U9" s="941"/>
      <c r="V9" s="942"/>
      <c r="W9" s="521" t="s">
        <v>133</v>
      </c>
      <c r="X9" s="518"/>
      <c r="Y9" s="519" t="s">
        <v>134</v>
      </c>
      <c r="Z9" s="523"/>
      <c r="AA9" s="524"/>
    </row>
    <row r="10" spans="1:27" s="516" customFormat="1" ht="34.5" customHeight="1" thickBot="1">
      <c r="A10" s="525" t="s">
        <v>135</v>
      </c>
      <c r="B10" s="525" t="s">
        <v>102</v>
      </c>
      <c r="C10" s="526" t="s">
        <v>103</v>
      </c>
      <c r="D10" s="527" t="s">
        <v>104</v>
      </c>
      <c r="E10" s="525" t="s">
        <v>102</v>
      </c>
      <c r="F10" s="526" t="s">
        <v>103</v>
      </c>
      <c r="G10" s="528" t="s">
        <v>104</v>
      </c>
      <c r="H10" s="525" t="s">
        <v>102</v>
      </c>
      <c r="I10" s="526" t="s">
        <v>103</v>
      </c>
      <c r="J10" s="528" t="s">
        <v>104</v>
      </c>
      <c r="K10" s="525" t="s">
        <v>102</v>
      </c>
      <c r="L10" s="526" t="s">
        <v>103</v>
      </c>
      <c r="M10" s="528" t="s">
        <v>104</v>
      </c>
      <c r="N10" s="525" t="s">
        <v>102</v>
      </c>
      <c r="O10" s="526" t="s">
        <v>103</v>
      </c>
      <c r="P10" s="528" t="s">
        <v>104</v>
      </c>
      <c r="Q10" s="525" t="s">
        <v>102</v>
      </c>
      <c r="R10" s="526" t="s">
        <v>103</v>
      </c>
      <c r="S10" s="528" t="s">
        <v>104</v>
      </c>
      <c r="T10" s="529" t="s">
        <v>102</v>
      </c>
      <c r="U10" s="530" t="s">
        <v>103</v>
      </c>
      <c r="V10" s="528" t="s">
        <v>104</v>
      </c>
      <c r="W10" s="531" t="s">
        <v>136</v>
      </c>
      <c r="X10" s="529" t="s">
        <v>102</v>
      </c>
      <c r="Y10" s="530" t="s">
        <v>103</v>
      </c>
      <c r="Z10" s="528" t="s">
        <v>104</v>
      </c>
      <c r="AA10" s="524"/>
    </row>
    <row r="11" spans="1:27" s="516" customFormat="1" ht="33.75" customHeight="1">
      <c r="A11" s="748" t="s">
        <v>137</v>
      </c>
      <c r="B11" s="533">
        <v>850</v>
      </c>
      <c r="C11" s="534">
        <v>1449</v>
      </c>
      <c r="D11" s="535">
        <v>1464.529</v>
      </c>
      <c r="E11" s="517">
        <v>106957</v>
      </c>
      <c r="F11" s="536">
        <v>109347</v>
      </c>
      <c r="G11" s="523">
        <v>103833</v>
      </c>
      <c r="H11" s="517">
        <v>35921</v>
      </c>
      <c r="I11" s="537">
        <v>35595</v>
      </c>
      <c r="J11" s="523">
        <v>34256</v>
      </c>
      <c r="K11" s="538">
        <v>1055</v>
      </c>
      <c r="L11" s="539">
        <v>1044</v>
      </c>
      <c r="M11" s="540">
        <v>1005</v>
      </c>
      <c r="N11" s="538">
        <v>36400</v>
      </c>
      <c r="O11" s="540">
        <v>47499</v>
      </c>
      <c r="P11" s="541">
        <f>47566.313+1.189-596</f>
        <v>46971.502</v>
      </c>
      <c r="Q11" s="540">
        <v>3600</v>
      </c>
      <c r="R11" s="536">
        <v>7308</v>
      </c>
      <c r="S11" s="523">
        <v>8430.54</v>
      </c>
      <c r="T11" s="542"/>
      <c r="U11" s="543"/>
      <c r="V11" s="544"/>
      <c r="W11" s="545"/>
      <c r="X11" s="546">
        <f aca="true" t="shared" si="0" ref="X11:Y16">T11+Q11+N11+K11+H11+E11</f>
        <v>183933</v>
      </c>
      <c r="Y11" s="547">
        <f t="shared" si="0"/>
        <v>200793</v>
      </c>
      <c r="Z11" s="548">
        <f aca="true" t="shared" si="1" ref="Z11:Z16">G11+J11+M11+P11+S11+V11+W11</f>
        <v>194496.04200000002</v>
      </c>
      <c r="AA11" s="549"/>
    </row>
    <row r="12" spans="1:27" s="516" customFormat="1" ht="33.75" customHeight="1">
      <c r="A12" s="748" t="s">
        <v>138</v>
      </c>
      <c r="B12" s="532">
        <v>1150</v>
      </c>
      <c r="C12" s="537">
        <v>1150</v>
      </c>
      <c r="D12" s="550">
        <v>670.15</v>
      </c>
      <c r="E12" s="551">
        <v>75161</v>
      </c>
      <c r="F12" s="552">
        <v>76559</v>
      </c>
      <c r="G12" s="553">
        <f>65598+10202.051</f>
        <v>75800.051</v>
      </c>
      <c r="H12" s="554">
        <v>24981</v>
      </c>
      <c r="I12" s="555">
        <v>22641</v>
      </c>
      <c r="J12" s="556">
        <v>22357</v>
      </c>
      <c r="K12" s="554">
        <v>734</v>
      </c>
      <c r="L12" s="557">
        <v>664</v>
      </c>
      <c r="M12" s="558">
        <v>656</v>
      </c>
      <c r="N12" s="554">
        <v>29000</v>
      </c>
      <c r="O12" s="559">
        <v>29334</v>
      </c>
      <c r="P12" s="556">
        <v>26634.329</v>
      </c>
      <c r="Q12" s="559">
        <v>400</v>
      </c>
      <c r="R12" s="552">
        <v>554</v>
      </c>
      <c r="S12" s="553">
        <v>153.595</v>
      </c>
      <c r="T12" s="554"/>
      <c r="U12" s="557"/>
      <c r="V12" s="553"/>
      <c r="W12" s="560"/>
      <c r="X12" s="554">
        <f t="shared" si="0"/>
        <v>130276</v>
      </c>
      <c r="Y12" s="557">
        <f t="shared" si="0"/>
        <v>129752</v>
      </c>
      <c r="Z12" s="561">
        <f t="shared" si="1"/>
        <v>125600.975</v>
      </c>
      <c r="AA12" s="549"/>
    </row>
    <row r="13" spans="1:27" s="516" customFormat="1" ht="33.75" customHeight="1">
      <c r="A13" s="749" t="s">
        <v>139</v>
      </c>
      <c r="B13" s="562">
        <v>2360</v>
      </c>
      <c r="C13" s="563">
        <v>2360</v>
      </c>
      <c r="D13" s="544">
        <v>2022.921</v>
      </c>
      <c r="E13" s="562">
        <v>93128</v>
      </c>
      <c r="F13" s="563">
        <v>97445</v>
      </c>
      <c r="G13" s="544">
        <f>87856.813+5640.702</f>
        <v>93497.515</v>
      </c>
      <c r="H13" s="554">
        <v>30876</v>
      </c>
      <c r="I13" s="549">
        <v>30682</v>
      </c>
      <c r="J13" s="556">
        <v>29918.259</v>
      </c>
      <c r="K13" s="554">
        <v>908</v>
      </c>
      <c r="L13" s="543">
        <v>899</v>
      </c>
      <c r="M13" s="549">
        <v>882.47</v>
      </c>
      <c r="N13" s="542">
        <v>38552</v>
      </c>
      <c r="O13" s="543">
        <v>40622</v>
      </c>
      <c r="P13" s="544">
        <v>37037.785</v>
      </c>
      <c r="Q13" s="559">
        <v>0</v>
      </c>
      <c r="R13" s="563">
        <v>536</v>
      </c>
      <c r="S13" s="544">
        <v>496.02</v>
      </c>
      <c r="T13" s="554"/>
      <c r="U13" s="543"/>
      <c r="V13" s="544"/>
      <c r="W13" s="564"/>
      <c r="X13" s="554">
        <f t="shared" si="0"/>
        <v>163464</v>
      </c>
      <c r="Y13" s="557">
        <f t="shared" si="0"/>
        <v>170184</v>
      </c>
      <c r="Z13" s="561">
        <f t="shared" si="1"/>
        <v>161832.049</v>
      </c>
      <c r="AA13" s="549"/>
    </row>
    <row r="14" spans="1:27" s="516" customFormat="1" ht="33.75" customHeight="1">
      <c r="A14" s="749" t="s">
        <v>140</v>
      </c>
      <c r="B14" s="551">
        <v>303</v>
      </c>
      <c r="C14" s="552">
        <v>333</v>
      </c>
      <c r="D14" s="553">
        <v>58.233</v>
      </c>
      <c r="E14" s="551">
        <v>28217</v>
      </c>
      <c r="F14" s="552">
        <v>29229</v>
      </c>
      <c r="G14" s="553">
        <f>26479+2270</f>
        <v>28749</v>
      </c>
      <c r="H14" s="554">
        <v>9462</v>
      </c>
      <c r="I14" s="559">
        <v>9133</v>
      </c>
      <c r="J14" s="556">
        <v>9014</v>
      </c>
      <c r="K14" s="554">
        <v>278</v>
      </c>
      <c r="L14" s="557">
        <v>268</v>
      </c>
      <c r="M14" s="558">
        <v>264.79</v>
      </c>
      <c r="N14" s="554">
        <v>11600</v>
      </c>
      <c r="O14" s="559">
        <v>10070</v>
      </c>
      <c r="P14" s="556">
        <v>9160.057</v>
      </c>
      <c r="Q14" s="559">
        <v>900</v>
      </c>
      <c r="R14" s="552">
        <v>1100</v>
      </c>
      <c r="S14" s="553">
        <v>1099.92</v>
      </c>
      <c r="T14" s="554"/>
      <c r="U14" s="557"/>
      <c r="V14" s="553"/>
      <c r="W14" s="560"/>
      <c r="X14" s="554">
        <f t="shared" si="0"/>
        <v>50457</v>
      </c>
      <c r="Y14" s="557">
        <f t="shared" si="0"/>
        <v>49800</v>
      </c>
      <c r="Z14" s="561">
        <f t="shared" si="1"/>
        <v>48287.767</v>
      </c>
      <c r="AA14" s="549"/>
    </row>
    <row r="15" spans="1:27" s="516" customFormat="1" ht="33.75" customHeight="1">
      <c r="A15" s="749" t="s">
        <v>141</v>
      </c>
      <c r="B15" s="562">
        <v>415</v>
      </c>
      <c r="C15" s="563">
        <v>1008</v>
      </c>
      <c r="D15" s="544">
        <v>999.08</v>
      </c>
      <c r="E15" s="562">
        <v>31264</v>
      </c>
      <c r="F15" s="563">
        <v>31112</v>
      </c>
      <c r="G15" s="544">
        <f>29991+521.915</f>
        <v>30512.915</v>
      </c>
      <c r="H15" s="554">
        <v>10455</v>
      </c>
      <c r="I15" s="549">
        <v>10382</v>
      </c>
      <c r="J15" s="556">
        <v>10205.19875</v>
      </c>
      <c r="K15" s="554">
        <v>308</v>
      </c>
      <c r="L15" s="543">
        <v>305</v>
      </c>
      <c r="M15" s="549">
        <v>299.91</v>
      </c>
      <c r="N15" s="554">
        <v>9000</v>
      </c>
      <c r="O15" s="552">
        <v>9000</v>
      </c>
      <c r="P15" s="556">
        <v>9968.272</v>
      </c>
      <c r="Q15" s="559">
        <v>8000</v>
      </c>
      <c r="R15" s="563">
        <v>15628</v>
      </c>
      <c r="S15" s="544">
        <v>14105.863</v>
      </c>
      <c r="T15" s="554"/>
      <c r="U15" s="543"/>
      <c r="V15" s="544"/>
      <c r="W15" s="564"/>
      <c r="X15" s="554">
        <f t="shared" si="0"/>
        <v>59027</v>
      </c>
      <c r="Y15" s="557">
        <f t="shared" si="0"/>
        <v>66427</v>
      </c>
      <c r="Z15" s="561">
        <f t="shared" si="1"/>
        <v>65092.15875</v>
      </c>
      <c r="AA15" s="549"/>
    </row>
    <row r="16" spans="1:27" s="516" customFormat="1" ht="33.75" customHeight="1">
      <c r="A16" s="749" t="s">
        <v>142</v>
      </c>
      <c r="B16" s="551"/>
      <c r="C16" s="552">
        <v>144</v>
      </c>
      <c r="D16" s="553">
        <v>153.806</v>
      </c>
      <c r="E16" s="551">
        <v>13285</v>
      </c>
      <c r="F16" s="552">
        <v>13595</v>
      </c>
      <c r="G16" s="553">
        <f>12762.215+552.19</f>
        <v>13314.405</v>
      </c>
      <c r="H16" s="554">
        <v>4441</v>
      </c>
      <c r="I16" s="559">
        <v>4434</v>
      </c>
      <c r="J16" s="556">
        <v>4345.97</v>
      </c>
      <c r="K16" s="554">
        <v>130</v>
      </c>
      <c r="L16" s="557">
        <v>130</v>
      </c>
      <c r="M16" s="558">
        <v>127</v>
      </c>
      <c r="N16" s="554">
        <v>2757</v>
      </c>
      <c r="O16" s="552">
        <v>2382</v>
      </c>
      <c r="P16" s="556">
        <v>2158.31</v>
      </c>
      <c r="Q16" s="559">
        <v>0</v>
      </c>
      <c r="R16" s="552">
        <v>220</v>
      </c>
      <c r="S16" s="553">
        <v>1099.92</v>
      </c>
      <c r="T16" s="554"/>
      <c r="U16" s="557"/>
      <c r="V16" s="553"/>
      <c r="W16" s="560"/>
      <c r="X16" s="554">
        <f t="shared" si="0"/>
        <v>20613</v>
      </c>
      <c r="Y16" s="557">
        <f t="shared" si="0"/>
        <v>20761</v>
      </c>
      <c r="Z16" s="561">
        <f t="shared" si="1"/>
        <v>21045.605000000003</v>
      </c>
      <c r="AA16" s="549"/>
    </row>
    <row r="17" spans="1:27" s="516" customFormat="1" ht="33.75" customHeight="1" thickBot="1">
      <c r="A17" s="749" t="s">
        <v>70</v>
      </c>
      <c r="B17" s="551">
        <v>500</v>
      </c>
      <c r="C17" s="552">
        <v>958</v>
      </c>
      <c r="D17" s="553">
        <v>870.916</v>
      </c>
      <c r="E17" s="551">
        <v>118763</v>
      </c>
      <c r="F17" s="552">
        <f>118125+810</f>
        <v>118935</v>
      </c>
      <c r="G17" s="553">
        <f>115227+1722.05</f>
        <v>116949.05</v>
      </c>
      <c r="H17" s="554">
        <v>39444</v>
      </c>
      <c r="I17" s="559">
        <f>39530</f>
        <v>39530</v>
      </c>
      <c r="J17" s="556">
        <v>38979.12</v>
      </c>
      <c r="K17" s="554">
        <v>1160</v>
      </c>
      <c r="L17" s="557">
        <f>1160</f>
        <v>1160</v>
      </c>
      <c r="M17" s="559">
        <v>1152</v>
      </c>
      <c r="N17" s="565">
        <v>44650</v>
      </c>
      <c r="O17" s="566">
        <v>56693</v>
      </c>
      <c r="P17" s="567">
        <f>55653.761+124.38</f>
        <v>55778.140999999996</v>
      </c>
      <c r="Q17" s="559">
        <v>0</v>
      </c>
      <c r="R17" s="552">
        <v>288</v>
      </c>
      <c r="S17" s="553">
        <v>1198.878</v>
      </c>
      <c r="T17" s="554">
        <v>7451</v>
      </c>
      <c r="U17" s="557">
        <v>7451</v>
      </c>
      <c r="V17" s="553">
        <v>6419.23584</v>
      </c>
      <c r="W17" s="560"/>
      <c r="X17" s="554">
        <f>T17+Q17+N17+K17+H17+E17</f>
        <v>211468</v>
      </c>
      <c r="Y17" s="557">
        <f>U17+R17+O17+L17+I17+F17-810</f>
        <v>223247</v>
      </c>
      <c r="Z17" s="561">
        <f>G17+J17+M17+P17+S17+V17+W17-561.17</f>
        <v>219915.25484</v>
      </c>
      <c r="AA17" s="549"/>
    </row>
    <row r="18" spans="1:27" s="516" customFormat="1" ht="34.5" customHeight="1" thickBot="1">
      <c r="A18" s="575" t="s">
        <v>143</v>
      </c>
      <c r="B18" s="568">
        <f aca="true" t="shared" si="2" ref="B18:O18">SUM(B11:B17)</f>
        <v>5578</v>
      </c>
      <c r="C18" s="569">
        <f t="shared" si="2"/>
        <v>7402</v>
      </c>
      <c r="D18" s="570">
        <f t="shared" si="2"/>
        <v>6239.635</v>
      </c>
      <c r="E18" s="568">
        <f t="shared" si="2"/>
        <v>466775</v>
      </c>
      <c r="F18" s="569">
        <f t="shared" si="2"/>
        <v>476222</v>
      </c>
      <c r="G18" s="570">
        <f t="shared" si="2"/>
        <v>462655.936</v>
      </c>
      <c r="H18" s="568">
        <f t="shared" si="2"/>
        <v>155580</v>
      </c>
      <c r="I18" s="569">
        <f t="shared" si="2"/>
        <v>152397</v>
      </c>
      <c r="J18" s="570">
        <f t="shared" si="2"/>
        <v>149075.54775</v>
      </c>
      <c r="K18" s="568">
        <f t="shared" si="2"/>
        <v>4573</v>
      </c>
      <c r="L18" s="569">
        <f t="shared" si="2"/>
        <v>4470</v>
      </c>
      <c r="M18" s="570">
        <f t="shared" si="2"/>
        <v>4387.17</v>
      </c>
      <c r="N18" s="568">
        <f t="shared" si="2"/>
        <v>171959</v>
      </c>
      <c r="O18" s="569">
        <f t="shared" si="2"/>
        <v>195600</v>
      </c>
      <c r="P18" s="570">
        <f>SUM(P11:P17)-1</f>
        <v>187707.396</v>
      </c>
      <c r="Q18" s="568">
        <f>SUM(Q11:Q17)</f>
        <v>12900</v>
      </c>
      <c r="R18" s="569">
        <f>SUM(R11:R17)</f>
        <v>25634</v>
      </c>
      <c r="S18" s="570">
        <f>SUM(S11:S17)+1</f>
        <v>26585.736</v>
      </c>
      <c r="T18" s="568">
        <f aca="true" t="shared" si="3" ref="T18:Z18">SUM(T11:T17)</f>
        <v>7451</v>
      </c>
      <c r="U18" s="569">
        <f t="shared" si="3"/>
        <v>7451</v>
      </c>
      <c r="V18" s="570">
        <f t="shared" si="3"/>
        <v>6419.23584</v>
      </c>
      <c r="W18" s="571">
        <f t="shared" si="3"/>
        <v>0</v>
      </c>
      <c r="X18" s="568">
        <f t="shared" si="3"/>
        <v>819238</v>
      </c>
      <c r="Y18" s="569">
        <f t="shared" si="3"/>
        <v>860964</v>
      </c>
      <c r="Z18" s="572">
        <f t="shared" si="3"/>
        <v>836269.8515900001</v>
      </c>
      <c r="AA18" s="573"/>
    </row>
    <row r="19" spans="1:27" s="516" customFormat="1" ht="33.75" customHeight="1" thickBot="1">
      <c r="A19" s="750" t="s">
        <v>144</v>
      </c>
      <c r="B19" s="538"/>
      <c r="C19" s="536"/>
      <c r="D19" s="541"/>
      <c r="E19" s="538">
        <v>6556</v>
      </c>
      <c r="F19" s="536">
        <v>6556</v>
      </c>
      <c r="G19" s="541">
        <f>6485.112+70</f>
        <v>6555.112</v>
      </c>
      <c r="H19" s="538">
        <v>2206</v>
      </c>
      <c r="I19" s="536">
        <v>2206</v>
      </c>
      <c r="J19" s="541">
        <v>2204.949</v>
      </c>
      <c r="K19" s="538">
        <v>65</v>
      </c>
      <c r="L19" s="536">
        <v>65</v>
      </c>
      <c r="M19" s="541">
        <v>65</v>
      </c>
      <c r="N19" s="538">
        <v>4800</v>
      </c>
      <c r="O19" s="536">
        <v>4865</v>
      </c>
      <c r="P19" s="541">
        <f>4422.2504+8.5+37.301</f>
        <v>4468.0514</v>
      </c>
      <c r="Q19" s="538">
        <v>0</v>
      </c>
      <c r="R19" s="536">
        <v>0</v>
      </c>
      <c r="S19" s="541">
        <v>0</v>
      </c>
      <c r="T19" s="538"/>
      <c r="U19" s="536"/>
      <c r="V19" s="541"/>
      <c r="W19" s="545"/>
      <c r="X19" s="538">
        <f>T19+Q19+N19+K19+H19+E19</f>
        <v>13627</v>
      </c>
      <c r="Y19" s="536">
        <f>U19+R19+O19+L19+I19+F19</f>
        <v>13692</v>
      </c>
      <c r="Z19" s="574">
        <f>G19+J19+M19+P19+S19+V19+W19</f>
        <v>13293.1124</v>
      </c>
      <c r="AA19" s="549"/>
    </row>
    <row r="20" spans="1:27" s="214" customFormat="1" ht="27.75" customHeight="1" hidden="1" thickBot="1">
      <c r="A20" s="221" t="s">
        <v>145</v>
      </c>
      <c r="B20" s="218"/>
      <c r="C20" s="217"/>
      <c r="D20" s="219"/>
      <c r="E20" s="218"/>
      <c r="F20" s="217"/>
      <c r="G20" s="219"/>
      <c r="H20" s="218"/>
      <c r="I20" s="217"/>
      <c r="J20" s="219"/>
      <c r="K20" s="218"/>
      <c r="L20" s="217"/>
      <c r="M20" s="219"/>
      <c r="N20" s="218"/>
      <c r="O20" s="217"/>
      <c r="P20" s="219"/>
      <c r="Q20" s="218"/>
      <c r="R20" s="217"/>
      <c r="S20" s="219"/>
      <c r="T20" s="218"/>
      <c r="U20" s="217"/>
      <c r="V20" s="219"/>
      <c r="W20" s="220"/>
      <c r="X20" s="218">
        <f>E20+H20+K20+N20+Q20+T20</f>
        <v>0</v>
      </c>
      <c r="Y20" s="217">
        <f>F20+I20+L20</f>
        <v>0</v>
      </c>
      <c r="Z20" s="222"/>
      <c r="AA20" s="215"/>
    </row>
    <row r="21" spans="1:27" s="758" customFormat="1" ht="36" customHeight="1" thickBot="1">
      <c r="A21" s="751" t="s">
        <v>124</v>
      </c>
      <c r="B21" s="752">
        <f>SUM(B18:B19)</f>
        <v>5578</v>
      </c>
      <c r="C21" s="753">
        <f>SUM(C18:C19)</f>
        <v>7402</v>
      </c>
      <c r="D21" s="754">
        <f>SUM(D18:D19)</f>
        <v>6239.635</v>
      </c>
      <c r="E21" s="751">
        <f aca="true" t="shared" si="4" ref="E21:O21">SUM(E18:E20)</f>
        <v>473331</v>
      </c>
      <c r="F21" s="753">
        <f t="shared" si="4"/>
        <v>482778</v>
      </c>
      <c r="G21" s="755">
        <f t="shared" si="4"/>
        <v>469211.048</v>
      </c>
      <c r="H21" s="751">
        <f t="shared" si="4"/>
        <v>157786</v>
      </c>
      <c r="I21" s="753">
        <f t="shared" si="4"/>
        <v>154603</v>
      </c>
      <c r="J21" s="755">
        <f t="shared" si="4"/>
        <v>151280.49675</v>
      </c>
      <c r="K21" s="751">
        <f t="shared" si="4"/>
        <v>4638</v>
      </c>
      <c r="L21" s="753">
        <f t="shared" si="4"/>
        <v>4535</v>
      </c>
      <c r="M21" s="755">
        <f t="shared" si="4"/>
        <v>4452.17</v>
      </c>
      <c r="N21" s="751">
        <f t="shared" si="4"/>
        <v>176759</v>
      </c>
      <c r="O21" s="753">
        <f t="shared" si="4"/>
        <v>200465</v>
      </c>
      <c r="P21" s="755">
        <f>SUM(P18:P20)+1</f>
        <v>192176.4474</v>
      </c>
      <c r="Q21" s="751">
        <f aca="true" t="shared" si="5" ref="Q21:Z21">SUM(Q18:Q20)</f>
        <v>12900</v>
      </c>
      <c r="R21" s="753">
        <f t="shared" si="5"/>
        <v>25634</v>
      </c>
      <c r="S21" s="755">
        <f t="shared" si="5"/>
        <v>26585.736</v>
      </c>
      <c r="T21" s="751">
        <f t="shared" si="5"/>
        <v>7451</v>
      </c>
      <c r="U21" s="753">
        <f t="shared" si="5"/>
        <v>7451</v>
      </c>
      <c r="V21" s="755">
        <f t="shared" si="5"/>
        <v>6419.23584</v>
      </c>
      <c r="W21" s="752">
        <f t="shared" si="5"/>
        <v>0</v>
      </c>
      <c r="X21" s="751">
        <f t="shared" si="5"/>
        <v>832865</v>
      </c>
      <c r="Y21" s="753">
        <f t="shared" si="5"/>
        <v>874656</v>
      </c>
      <c r="Z21" s="756">
        <f t="shared" si="5"/>
        <v>849562.9639900001</v>
      </c>
      <c r="AA21" s="757"/>
    </row>
    <row r="22" s="214" customFormat="1" ht="12.75" customHeight="1"/>
    <row r="23" s="214" customFormat="1" ht="12.75" customHeight="1">
      <c r="R23" s="223"/>
    </row>
    <row r="24" spans="1:25" s="576" customFormat="1" ht="16.5" customHeight="1">
      <c r="A24" s="576" t="s">
        <v>146</v>
      </c>
      <c r="L24" s="249" t="s">
        <v>147</v>
      </c>
      <c r="R24" s="577"/>
      <c r="Y24" s="576" t="s">
        <v>148</v>
      </c>
    </row>
    <row r="25" s="214" customFormat="1" ht="12.75" customHeight="1">
      <c r="O25" s="215"/>
    </row>
    <row r="26" s="214" customFormat="1" ht="12.75" customHeight="1"/>
    <row r="27" ht="12.75" customHeight="1">
      <c r="G27" s="224"/>
    </row>
    <row r="28" ht="12.75" customHeight="1"/>
    <row r="29" ht="12.75" customHeight="1"/>
    <row r="30" ht="12.75" customHeight="1"/>
    <row r="31" ht="12.75" customHeight="1"/>
    <row r="32" ht="12.75" customHeight="1">
      <c r="S32" s="224"/>
    </row>
    <row r="33" ht="12.75" customHeight="1"/>
    <row r="34" ht="12.75" customHeight="1">
      <c r="S34" s="224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6">
    <mergeCell ref="Y4:Z4"/>
    <mergeCell ref="A6:Z6"/>
    <mergeCell ref="B9:D9"/>
    <mergeCell ref="E9:G9"/>
    <mergeCell ref="Q9:S9"/>
    <mergeCell ref="T9:V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1"/>
  <headerFooter alignWithMargins="0">
    <oddFooter>&amp;C&amp;14&amp;P+140&amp;10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28"/>
  <sheetViews>
    <sheetView zoomScale="75" zoomScaleNormal="75" workbookViewId="0" topLeftCell="A6">
      <selection activeCell="A25" sqref="A25"/>
    </sheetView>
  </sheetViews>
  <sheetFormatPr defaultColWidth="0" defaultRowHeight="12.75"/>
  <cols>
    <col min="1" max="1" width="31.375" style="226" customWidth="1"/>
    <col min="2" max="2" width="10.00390625" style="226" customWidth="1"/>
    <col min="3" max="3" width="9.375" style="226" customWidth="1"/>
    <col min="4" max="4" width="10.00390625" style="226" customWidth="1"/>
    <col min="5" max="5" width="8.25390625" style="226" customWidth="1"/>
    <col min="6" max="6" width="8.75390625" style="226" customWidth="1"/>
    <col min="7" max="7" width="10.125" style="226" bestFit="1" customWidth="1"/>
    <col min="8" max="8" width="7.75390625" style="226" customWidth="1"/>
    <col min="9" max="9" width="8.625" style="226" customWidth="1"/>
    <col min="10" max="10" width="8.125" style="226" customWidth="1"/>
    <col min="11" max="11" width="11.375" style="226" customWidth="1"/>
    <col min="12" max="12" width="10.75390625" style="226" customWidth="1"/>
    <col min="13" max="13" width="9.875" style="226" customWidth="1"/>
    <col min="14" max="14" width="10.25390625" style="226" customWidth="1"/>
    <col min="15" max="15" width="10.375" style="226" customWidth="1"/>
    <col min="16" max="16" width="10.25390625" style="226" customWidth="1"/>
    <col min="17" max="17" width="7.25390625" style="226" customWidth="1"/>
    <col min="18" max="18" width="8.25390625" style="226" customWidth="1"/>
    <col min="19" max="19" width="9.00390625" style="226" customWidth="1"/>
    <col min="20" max="20" width="11.25390625" style="226" hidden="1" customWidth="1"/>
    <col min="21" max="21" width="9.75390625" style="226" customWidth="1"/>
    <col min="22" max="22" width="10.125" style="226" customWidth="1"/>
    <col min="23" max="23" width="13.125" style="226" customWidth="1"/>
    <col min="24" max="24" width="10.875" style="226" customWidth="1"/>
    <col min="25" max="211" width="9.125" style="226" customWidth="1"/>
    <col min="212" max="212" width="28.25390625" style="226" customWidth="1"/>
    <col min="213" max="213" width="9.00390625" style="226" customWidth="1"/>
    <col min="214" max="214" width="9.375" style="226" customWidth="1"/>
    <col min="215" max="215" width="10.00390625" style="226" customWidth="1"/>
    <col min="216" max="216" width="8.25390625" style="226" customWidth="1"/>
    <col min="217" max="217" width="8.00390625" style="226" customWidth="1"/>
    <col min="218" max="218" width="10.125" style="226" bestFit="1" customWidth="1"/>
    <col min="219" max="219" width="7.75390625" style="226" customWidth="1"/>
    <col min="220" max="220" width="8.625" style="226" customWidth="1"/>
    <col min="221" max="221" width="8.125" style="226" customWidth="1"/>
    <col min="222" max="222" width="11.375" style="226" customWidth="1"/>
    <col min="223" max="223" width="10.75390625" style="226" customWidth="1"/>
    <col min="224" max="224" width="9.875" style="226" customWidth="1"/>
    <col min="225" max="225" width="10.25390625" style="226" customWidth="1"/>
    <col min="226" max="226" width="10.375" style="226" customWidth="1"/>
    <col min="227" max="227" width="10.25390625" style="226" customWidth="1"/>
    <col min="228" max="229" width="7.25390625" style="226" customWidth="1"/>
    <col min="230" max="230" width="7.875" style="226" bestFit="1" customWidth="1"/>
    <col min="231" max="231" width="0" style="226" hidden="1" customWidth="1"/>
    <col min="232" max="233" width="9.125" style="226" customWidth="1"/>
    <col min="234" max="234" width="13.125" style="226" customWidth="1"/>
    <col min="235" max="235" width="10.875" style="226" customWidth="1"/>
    <col min="236" max="16384" width="0" style="226" hidden="1" customWidth="1"/>
  </cols>
  <sheetData>
    <row r="4" spans="1:23" ht="15.75">
      <c r="A4" s="238" t="s">
        <v>126</v>
      </c>
      <c r="V4" s="944" t="s">
        <v>282</v>
      </c>
      <c r="W4" s="944"/>
    </row>
    <row r="5" spans="1:23" ht="12.75">
      <c r="A5" s="225"/>
      <c r="V5" s="237"/>
      <c r="W5" s="237"/>
    </row>
    <row r="6" spans="1:23" ht="12.75">
      <c r="A6" s="225"/>
      <c r="V6" s="237"/>
      <c r="W6" s="237"/>
    </row>
    <row r="7" spans="8:9" ht="18">
      <c r="H7" s="227" t="s">
        <v>271</v>
      </c>
      <c r="I7" s="227"/>
    </row>
    <row r="9" spans="1:24" ht="13.5" thickBot="1">
      <c r="A9" s="225"/>
      <c r="I9" s="228"/>
      <c r="N9" s="229"/>
      <c r="O9" s="229"/>
      <c r="P9" s="229"/>
      <c r="Q9" s="229"/>
      <c r="R9" s="229"/>
      <c r="S9" s="230"/>
      <c r="T9" s="230"/>
      <c r="U9" s="229"/>
      <c r="V9" s="229"/>
      <c r="W9" s="230" t="s">
        <v>91</v>
      </c>
      <c r="X9" s="229"/>
    </row>
    <row r="10" spans="1:24" s="238" customFormat="1" ht="33.75" customHeight="1" thickBot="1">
      <c r="A10" s="579"/>
      <c r="B10" s="945" t="s">
        <v>131</v>
      </c>
      <c r="C10" s="946"/>
      <c r="D10" s="947"/>
      <c r="E10" s="582"/>
      <c r="F10" s="583" t="s">
        <v>94</v>
      </c>
      <c r="G10" s="580"/>
      <c r="H10" s="582"/>
      <c r="I10" s="583" t="s">
        <v>95</v>
      </c>
      <c r="J10" s="581"/>
      <c r="K10" s="945" t="s">
        <v>272</v>
      </c>
      <c r="L10" s="946"/>
      <c r="M10" s="947"/>
      <c r="N10" s="948" t="s">
        <v>132</v>
      </c>
      <c r="O10" s="949"/>
      <c r="P10" s="950"/>
      <c r="Q10" s="582"/>
      <c r="R10" s="583" t="s">
        <v>99</v>
      </c>
      <c r="S10" s="581"/>
      <c r="T10" s="584" t="s">
        <v>133</v>
      </c>
      <c r="U10" s="945" t="s">
        <v>134</v>
      </c>
      <c r="V10" s="946"/>
      <c r="W10" s="947"/>
      <c r="X10" s="585"/>
    </row>
    <row r="11" spans="1:24" s="238" customFormat="1" ht="27.75" customHeight="1">
      <c r="A11" s="586" t="s">
        <v>135</v>
      </c>
      <c r="B11" s="587" t="s">
        <v>102</v>
      </c>
      <c r="C11" s="588" t="s">
        <v>103</v>
      </c>
      <c r="D11" s="589" t="s">
        <v>104</v>
      </c>
      <c r="E11" s="587" t="s">
        <v>102</v>
      </c>
      <c r="F11" s="590" t="s">
        <v>103</v>
      </c>
      <c r="G11" s="589" t="s">
        <v>104</v>
      </c>
      <c r="H11" s="587" t="s">
        <v>102</v>
      </c>
      <c r="I11" s="590" t="s">
        <v>103</v>
      </c>
      <c r="J11" s="589" t="s">
        <v>104</v>
      </c>
      <c r="K11" s="587" t="s">
        <v>102</v>
      </c>
      <c r="L11" s="590" t="s">
        <v>103</v>
      </c>
      <c r="M11" s="589" t="s">
        <v>104</v>
      </c>
      <c r="N11" s="587" t="s">
        <v>102</v>
      </c>
      <c r="O11" s="588" t="s">
        <v>103</v>
      </c>
      <c r="P11" s="591" t="s">
        <v>104</v>
      </c>
      <c r="Q11" s="592" t="s">
        <v>102</v>
      </c>
      <c r="R11" s="593" t="s">
        <v>103</v>
      </c>
      <c r="S11" s="589" t="s">
        <v>104</v>
      </c>
      <c r="T11" s="586" t="s">
        <v>136</v>
      </c>
      <c r="U11" s="592" t="s">
        <v>102</v>
      </c>
      <c r="V11" s="593" t="s">
        <v>103</v>
      </c>
      <c r="W11" s="589" t="s">
        <v>104</v>
      </c>
      <c r="X11" s="585"/>
    </row>
    <row r="12" spans="1:24" s="238" customFormat="1" ht="4.5" customHeight="1" thickBot="1">
      <c r="A12" s="594"/>
      <c r="B12" s="595"/>
      <c r="C12" s="596"/>
      <c r="D12" s="597"/>
      <c r="E12" s="598"/>
      <c r="F12" s="599"/>
      <c r="G12" s="600"/>
      <c r="H12" s="601"/>
      <c r="I12" s="602"/>
      <c r="J12" s="603"/>
      <c r="K12" s="598"/>
      <c r="L12" s="602"/>
      <c r="M12" s="603"/>
      <c r="N12" s="602"/>
      <c r="O12" s="604"/>
      <c r="P12" s="605"/>
      <c r="Q12" s="601"/>
      <c r="R12" s="598"/>
      <c r="S12" s="597"/>
      <c r="T12" s="606"/>
      <c r="U12" s="607"/>
      <c r="V12" s="608"/>
      <c r="W12" s="597"/>
      <c r="X12" s="609"/>
    </row>
    <row r="13" spans="1:24" s="238" customFormat="1" ht="27.75" customHeight="1">
      <c r="A13" s="610" t="s">
        <v>69</v>
      </c>
      <c r="B13" s="611">
        <f>38559-1346-200</f>
        <v>37013</v>
      </c>
      <c r="C13" s="612">
        <f>44093-1346-200</f>
        <v>42547</v>
      </c>
      <c r="D13" s="613">
        <f>37094.63195+5661.008+1225.49405+24-1225.49405-24</f>
        <v>42755.639950000004</v>
      </c>
      <c r="E13" s="614">
        <f>12807-458</f>
        <v>12349</v>
      </c>
      <c r="F13" s="615">
        <f>13345-458</f>
        <v>12887</v>
      </c>
      <c r="G13" s="616">
        <f>12860.51989+416.66511-416.66511</f>
        <v>12860.51989</v>
      </c>
      <c r="H13" s="617">
        <f>376-14</f>
        <v>362</v>
      </c>
      <c r="I13" s="618">
        <f>388-14</f>
        <v>374</v>
      </c>
      <c r="J13" s="613">
        <f>384.75228-13.9404</f>
        <v>370.81188</v>
      </c>
      <c r="K13" s="614">
        <v>40264</v>
      </c>
      <c r="L13" s="615">
        <v>41068</v>
      </c>
      <c r="M13" s="619">
        <f>35386.09982+3765.54796</f>
        <v>39151.64778</v>
      </c>
      <c r="N13" s="615">
        <f>2018-2018</f>
        <v>0</v>
      </c>
      <c r="O13" s="612">
        <f>50018-50018</f>
        <v>0</v>
      </c>
      <c r="P13" s="615">
        <f>4244.13244-0.81945-4244.13244+0.81945</f>
        <v>3.930189507173054E-14</v>
      </c>
      <c r="Q13" s="617">
        <v>6739</v>
      </c>
      <c r="R13" s="614">
        <v>10525</v>
      </c>
      <c r="S13" s="613">
        <v>12968.80642</v>
      </c>
      <c r="T13" s="620"/>
      <c r="U13" s="614">
        <f aca="true" t="shared" si="0" ref="U13:U19">B13+E13+H13+K13+N13+Q13</f>
        <v>96727</v>
      </c>
      <c r="V13" s="612">
        <f>C13+F13+I13+L13+O13+R13-3772</f>
        <v>103629</v>
      </c>
      <c r="W13" s="621">
        <f>D13+G13+J13+M13+P13+S13+T13-3765.54796-0.819</f>
        <v>104341.05896000001</v>
      </c>
      <c r="X13" s="622"/>
    </row>
    <row r="14" spans="1:24" s="238" customFormat="1" ht="27.75" customHeight="1">
      <c r="A14" s="610" t="s">
        <v>273</v>
      </c>
      <c r="B14" s="623">
        <v>37953</v>
      </c>
      <c r="C14" s="624">
        <v>38313</v>
      </c>
      <c r="D14" s="625">
        <f>35353+1960</f>
        <v>37313</v>
      </c>
      <c r="E14" s="626">
        <v>12360</v>
      </c>
      <c r="F14" s="627">
        <v>12926</v>
      </c>
      <c r="G14" s="628">
        <v>12586</v>
      </c>
      <c r="H14" s="629">
        <v>363</v>
      </c>
      <c r="I14" s="626">
        <v>363</v>
      </c>
      <c r="J14" s="630">
        <v>353</v>
      </c>
      <c r="K14" s="626">
        <v>24000</v>
      </c>
      <c r="L14" s="627">
        <v>23430</v>
      </c>
      <c r="M14" s="630">
        <v>22541.75758</v>
      </c>
      <c r="N14" s="627">
        <v>3000</v>
      </c>
      <c r="O14" s="624">
        <v>3600</v>
      </c>
      <c r="P14" s="627">
        <v>3671.257</v>
      </c>
      <c r="Q14" s="629"/>
      <c r="R14" s="626"/>
      <c r="S14" s="625"/>
      <c r="T14" s="631"/>
      <c r="U14" s="626">
        <f t="shared" si="0"/>
        <v>77676</v>
      </c>
      <c r="V14" s="624">
        <f aca="true" t="shared" si="1" ref="V14:V19">C14+F14+I14+L14+O14+R14</f>
        <v>78632</v>
      </c>
      <c r="W14" s="632">
        <f aca="true" t="shared" si="2" ref="W14:W20">D14+G14+J14+M14+P14+S14+T14</f>
        <v>76465.01458</v>
      </c>
      <c r="X14" s="622"/>
    </row>
    <row r="15" spans="1:24" s="238" customFormat="1" ht="27.75" customHeight="1">
      <c r="A15" s="633" t="s">
        <v>274</v>
      </c>
      <c r="B15" s="634">
        <v>29138</v>
      </c>
      <c r="C15" s="612">
        <v>29229</v>
      </c>
      <c r="D15" s="613">
        <f>28669+428</f>
        <v>29097</v>
      </c>
      <c r="E15" s="626">
        <v>9702</v>
      </c>
      <c r="F15" s="615">
        <v>9758</v>
      </c>
      <c r="G15" s="628">
        <v>9758</v>
      </c>
      <c r="H15" s="629">
        <v>285</v>
      </c>
      <c r="I15" s="614">
        <v>287</v>
      </c>
      <c r="J15" s="613">
        <v>287</v>
      </c>
      <c r="K15" s="614">
        <v>13327</v>
      </c>
      <c r="L15" s="615">
        <v>14302</v>
      </c>
      <c r="M15" s="619">
        <v>12450.20281</v>
      </c>
      <c r="N15" s="627">
        <v>12000</v>
      </c>
      <c r="O15" s="612">
        <v>13000</v>
      </c>
      <c r="P15" s="615">
        <v>1322.04</v>
      </c>
      <c r="Q15" s="629"/>
      <c r="R15" s="614"/>
      <c r="S15" s="613"/>
      <c r="T15" s="635"/>
      <c r="U15" s="626">
        <f t="shared" si="0"/>
        <v>64452</v>
      </c>
      <c r="V15" s="624">
        <f t="shared" si="1"/>
        <v>66576</v>
      </c>
      <c r="W15" s="632">
        <f t="shared" si="2"/>
        <v>52914.24281</v>
      </c>
      <c r="X15" s="622"/>
    </row>
    <row r="16" spans="1:24" s="238" customFormat="1" ht="27.75" customHeight="1">
      <c r="A16" s="633" t="s">
        <v>275</v>
      </c>
      <c r="B16" s="623">
        <v>31425</v>
      </c>
      <c r="C16" s="624">
        <v>32557</v>
      </c>
      <c r="D16" s="625">
        <f>30165.42202+2025.206+457.73228</f>
        <v>32648.3603</v>
      </c>
      <c r="E16" s="626">
        <v>10124</v>
      </c>
      <c r="F16" s="627">
        <v>10935</v>
      </c>
      <c r="G16" s="628">
        <f>10816.263+155.62797</f>
        <v>10971.89097</v>
      </c>
      <c r="H16" s="629">
        <v>297</v>
      </c>
      <c r="I16" s="626">
        <f>304</f>
        <v>304</v>
      </c>
      <c r="J16" s="630">
        <f>304.786+3.786-3.786</f>
        <v>304.786</v>
      </c>
      <c r="K16" s="626">
        <v>18464</v>
      </c>
      <c r="L16" s="627">
        <v>18359</v>
      </c>
      <c r="M16" s="630">
        <f>16320.89465+20.11+148.511-52.959</f>
        <v>16436.556650000002</v>
      </c>
      <c r="N16" s="627">
        <v>0</v>
      </c>
      <c r="O16" s="624">
        <v>3167</v>
      </c>
      <c r="P16" s="627">
        <f>8026.35092+52.959</f>
        <v>8079.30992</v>
      </c>
      <c r="Q16" s="629"/>
      <c r="R16" s="626"/>
      <c r="S16" s="625"/>
      <c r="T16" s="631"/>
      <c r="U16" s="626">
        <f t="shared" si="0"/>
        <v>60310</v>
      </c>
      <c r="V16" s="624">
        <f t="shared" si="1"/>
        <v>65322</v>
      </c>
      <c r="W16" s="632">
        <f t="shared" si="2"/>
        <v>68440.90384</v>
      </c>
      <c r="X16" s="622"/>
    </row>
    <row r="17" spans="1:24" s="238" customFormat="1" ht="27.75" customHeight="1">
      <c r="A17" s="633" t="s">
        <v>276</v>
      </c>
      <c r="B17" s="634">
        <v>29302</v>
      </c>
      <c r="C17" s="612">
        <v>29662</v>
      </c>
      <c r="D17" s="613">
        <f>28068.999+1549.23</f>
        <v>29618.229</v>
      </c>
      <c r="E17" s="626">
        <v>9543</v>
      </c>
      <c r="F17" s="615">
        <v>9845</v>
      </c>
      <c r="G17" s="628">
        <v>9834.86</v>
      </c>
      <c r="H17" s="629">
        <v>281</v>
      </c>
      <c r="I17" s="614">
        <v>281</v>
      </c>
      <c r="J17" s="613">
        <v>281</v>
      </c>
      <c r="K17" s="614">
        <v>19828</v>
      </c>
      <c r="L17" s="615">
        <v>19927</v>
      </c>
      <c r="M17" s="619">
        <v>18106.82589</v>
      </c>
      <c r="N17" s="627">
        <v>4000</v>
      </c>
      <c r="O17" s="612">
        <v>6614</v>
      </c>
      <c r="P17" s="615">
        <v>213</v>
      </c>
      <c r="Q17" s="629"/>
      <c r="R17" s="614"/>
      <c r="S17" s="613"/>
      <c r="T17" s="635"/>
      <c r="U17" s="626">
        <f t="shared" si="0"/>
        <v>62954</v>
      </c>
      <c r="V17" s="624">
        <f t="shared" si="1"/>
        <v>66329</v>
      </c>
      <c r="W17" s="632">
        <f t="shared" si="2"/>
        <v>58053.91489</v>
      </c>
      <c r="X17" s="622"/>
    </row>
    <row r="18" spans="1:24" s="238" customFormat="1" ht="27.75" customHeight="1">
      <c r="A18" s="633" t="s">
        <v>277</v>
      </c>
      <c r="B18" s="623">
        <v>33146</v>
      </c>
      <c r="C18" s="624">
        <v>34896</v>
      </c>
      <c r="D18" s="625">
        <f>33461+892.971</f>
        <v>34353.971</v>
      </c>
      <c r="E18" s="626">
        <v>10887</v>
      </c>
      <c r="F18" s="627">
        <v>11631</v>
      </c>
      <c r="G18" s="628">
        <v>11631</v>
      </c>
      <c r="H18" s="629">
        <v>320</v>
      </c>
      <c r="I18" s="626">
        <v>334</v>
      </c>
      <c r="J18" s="630">
        <v>334</v>
      </c>
      <c r="K18" s="626">
        <v>17536</v>
      </c>
      <c r="L18" s="627">
        <v>17629</v>
      </c>
      <c r="M18" s="630">
        <v>16027.01022</v>
      </c>
      <c r="N18" s="627">
        <v>7800</v>
      </c>
      <c r="O18" s="624">
        <v>8800</v>
      </c>
      <c r="P18" s="627">
        <v>9378.4715</v>
      </c>
      <c r="Q18" s="629"/>
      <c r="R18" s="626"/>
      <c r="S18" s="625"/>
      <c r="T18" s="631"/>
      <c r="U18" s="626">
        <f t="shared" si="0"/>
        <v>69689</v>
      </c>
      <c r="V18" s="624">
        <f t="shared" si="1"/>
        <v>73290</v>
      </c>
      <c r="W18" s="632">
        <f t="shared" si="2"/>
        <v>71724.45272</v>
      </c>
      <c r="X18" s="622"/>
    </row>
    <row r="19" spans="1:24" s="238" customFormat="1" ht="27.75" customHeight="1">
      <c r="A19" s="633" t="s">
        <v>278</v>
      </c>
      <c r="B19" s="623">
        <v>51305</v>
      </c>
      <c r="C19" s="624">
        <v>51509</v>
      </c>
      <c r="D19" s="625">
        <f>50702.7229999999+666.91</f>
        <v>51369.63299999991</v>
      </c>
      <c r="E19" s="626">
        <v>17242</v>
      </c>
      <c r="F19" s="627">
        <v>17489</v>
      </c>
      <c r="G19" s="628">
        <v>17618.63</v>
      </c>
      <c r="H19" s="629">
        <v>507</v>
      </c>
      <c r="I19" s="626">
        <v>507</v>
      </c>
      <c r="J19" s="625">
        <v>510.202</v>
      </c>
      <c r="K19" s="626">
        <v>45756</v>
      </c>
      <c r="L19" s="627">
        <v>45398</v>
      </c>
      <c r="M19" s="630">
        <v>41859.6833</v>
      </c>
      <c r="N19" s="627">
        <v>0</v>
      </c>
      <c r="O19" s="624">
        <v>359</v>
      </c>
      <c r="P19" s="627">
        <v>117.144</v>
      </c>
      <c r="Q19" s="629"/>
      <c r="R19" s="626"/>
      <c r="S19" s="625"/>
      <c r="T19" s="631"/>
      <c r="U19" s="626">
        <f t="shared" si="0"/>
        <v>114810</v>
      </c>
      <c r="V19" s="624">
        <f t="shared" si="1"/>
        <v>115262</v>
      </c>
      <c r="W19" s="632">
        <f t="shared" si="2"/>
        <v>111475.29229999991</v>
      </c>
      <c r="X19" s="622"/>
    </row>
    <row r="20" spans="1:24" s="238" customFormat="1" ht="27.75" customHeight="1" thickBot="1">
      <c r="A20" s="633" t="s">
        <v>279</v>
      </c>
      <c r="B20" s="634">
        <v>40219</v>
      </c>
      <c r="C20" s="612">
        <v>40623</v>
      </c>
      <c r="D20" s="613">
        <f>39966+657</f>
        <v>40623</v>
      </c>
      <c r="E20" s="614">
        <v>13589</v>
      </c>
      <c r="F20" s="615">
        <v>13696</v>
      </c>
      <c r="G20" s="616">
        <v>13696</v>
      </c>
      <c r="H20" s="617">
        <v>400</v>
      </c>
      <c r="I20" s="614">
        <v>400</v>
      </c>
      <c r="J20" s="613">
        <v>399.374</v>
      </c>
      <c r="K20" s="614">
        <v>43617</v>
      </c>
      <c r="L20" s="615">
        <v>41727</v>
      </c>
      <c r="M20" s="619">
        <v>39413.49778</v>
      </c>
      <c r="N20" s="615">
        <v>0</v>
      </c>
      <c r="O20" s="612">
        <v>1920</v>
      </c>
      <c r="P20" s="615">
        <v>581.31</v>
      </c>
      <c r="Q20" s="617"/>
      <c r="R20" s="614"/>
      <c r="S20" s="613"/>
      <c r="T20" s="635"/>
      <c r="U20" s="614">
        <f>B20+E20+H20+K20+N20</f>
        <v>97825</v>
      </c>
      <c r="V20" s="636">
        <f>C20+F20+I20+L20+O20</f>
        <v>98366</v>
      </c>
      <c r="W20" s="621">
        <f t="shared" si="2"/>
        <v>94713.18178</v>
      </c>
      <c r="X20" s="622"/>
    </row>
    <row r="21" spans="1:24" s="238" customFormat="1" ht="21.75" customHeight="1" hidden="1" thickBot="1">
      <c r="A21" s="637" t="s">
        <v>145</v>
      </c>
      <c r="B21" s="638">
        <v>0</v>
      </c>
      <c r="C21" s="639">
        <v>0</v>
      </c>
      <c r="D21" s="640"/>
      <c r="E21" s="641">
        <v>0</v>
      </c>
      <c r="F21" s="642">
        <v>0</v>
      </c>
      <c r="G21" s="643">
        <v>0</v>
      </c>
      <c r="H21" s="644">
        <v>0</v>
      </c>
      <c r="I21" s="641">
        <v>0</v>
      </c>
      <c r="J21" s="640"/>
      <c r="K21" s="641"/>
      <c r="L21" s="642"/>
      <c r="M21" s="645"/>
      <c r="N21" s="642"/>
      <c r="O21" s="639"/>
      <c r="P21" s="642"/>
      <c r="Q21" s="644"/>
      <c r="R21" s="641"/>
      <c r="S21" s="640"/>
      <c r="T21" s="646"/>
      <c r="U21" s="642">
        <f>B21+E21+H21</f>
        <v>0</v>
      </c>
      <c r="V21" s="639">
        <f>C21+F21+I21</f>
        <v>0</v>
      </c>
      <c r="W21" s="640"/>
      <c r="X21" s="622"/>
    </row>
    <row r="22" spans="1:24" s="238" customFormat="1" ht="28.5" customHeight="1" thickBot="1">
      <c r="A22" s="647" t="s">
        <v>280</v>
      </c>
      <c r="B22" s="648">
        <f>SUM(B13:B21)</f>
        <v>289501</v>
      </c>
      <c r="C22" s="649">
        <f>SUM(C13:C21)</f>
        <v>299336</v>
      </c>
      <c r="D22" s="650">
        <f>SUM(D13:D20)</f>
        <v>297778.8332499999</v>
      </c>
      <c r="E22" s="651">
        <f>SUM(E13:E21)</f>
        <v>95796</v>
      </c>
      <c r="F22" s="651">
        <f>SUM(F13:F21)</f>
        <v>99167</v>
      </c>
      <c r="G22" s="650">
        <f>SUM(G13:G21)+1</f>
        <v>98957.90086</v>
      </c>
      <c r="H22" s="652">
        <f>SUM(H13:H21)</f>
        <v>2815</v>
      </c>
      <c r="I22" s="651">
        <f>SUM(I13:I21)</f>
        <v>2850</v>
      </c>
      <c r="J22" s="650">
        <f aca="true" t="shared" si="3" ref="J22:O22">SUM(J13:J20)</f>
        <v>2840.1738800000003</v>
      </c>
      <c r="K22" s="651">
        <f t="shared" si="3"/>
        <v>222792</v>
      </c>
      <c r="L22" s="653">
        <f t="shared" si="3"/>
        <v>221840</v>
      </c>
      <c r="M22" s="650">
        <f t="shared" si="3"/>
        <v>205987.18201000002</v>
      </c>
      <c r="N22" s="653">
        <f t="shared" si="3"/>
        <v>26800</v>
      </c>
      <c r="O22" s="649">
        <f t="shared" si="3"/>
        <v>37460</v>
      </c>
      <c r="P22" s="653">
        <f>SUM(P13:P20)-1</f>
        <v>23361.53242</v>
      </c>
      <c r="Q22" s="652">
        <f>SUM(Q13:Q21)</f>
        <v>6739</v>
      </c>
      <c r="R22" s="651">
        <f>SUM(R13:R21)</f>
        <v>10525</v>
      </c>
      <c r="S22" s="654">
        <f>SUM(S13:S20)</f>
        <v>12968.80642</v>
      </c>
      <c r="T22" s="655">
        <f>SUM(T13:T20)</f>
        <v>0</v>
      </c>
      <c r="U22" s="653">
        <f>SUM(U13:U21)</f>
        <v>644443</v>
      </c>
      <c r="V22" s="649">
        <f>SUM(V13:V21)</f>
        <v>667406</v>
      </c>
      <c r="W22" s="656">
        <f>SUM(W13:W20)</f>
        <v>638128.0618799999</v>
      </c>
      <c r="X22" s="657"/>
    </row>
    <row r="23" spans="1:24" ht="16.5" customHeight="1">
      <c r="A23" s="231"/>
      <c r="B23" s="232"/>
      <c r="C23" s="232"/>
      <c r="D23" s="232"/>
      <c r="E23" s="232"/>
      <c r="F23" s="232"/>
      <c r="G23" s="233"/>
      <c r="H23" s="232"/>
      <c r="I23" s="232"/>
      <c r="J23" s="232"/>
      <c r="K23" s="232"/>
      <c r="L23" s="232"/>
      <c r="M23" s="232"/>
      <c r="N23" s="232"/>
      <c r="O23" s="232"/>
      <c r="P23" s="233"/>
      <c r="Q23" s="232"/>
      <c r="R23" s="232"/>
      <c r="S23" s="232"/>
      <c r="T23" s="232"/>
      <c r="U23" s="232"/>
      <c r="V23" s="234"/>
      <c r="W23" s="232"/>
      <c r="X23" s="232"/>
    </row>
    <row r="24" spans="1:23" ht="12.75">
      <c r="A24" s="236"/>
      <c r="J24" s="658"/>
      <c r="W24" s="235"/>
    </row>
    <row r="28" spans="1:23" s="238" customFormat="1" ht="15">
      <c r="A28" s="238" t="s">
        <v>281</v>
      </c>
      <c r="I28" s="238" t="s">
        <v>147</v>
      </c>
      <c r="V28" s="943" t="s">
        <v>148</v>
      </c>
      <c r="W28" s="943"/>
    </row>
  </sheetData>
  <sheetProtection/>
  <mergeCells count="6">
    <mergeCell ref="V28:W28"/>
    <mergeCell ref="V4:W4"/>
    <mergeCell ref="B10:D10"/>
    <mergeCell ref="K10:M10"/>
    <mergeCell ref="N10:P10"/>
    <mergeCell ref="U10:W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7" r:id="rId1"/>
  <headerFooter alignWithMargins="0">
    <oddFooter>&amp;C&amp;14&amp;P+141&amp;10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workbookViewId="0" topLeftCell="A1">
      <pane xSplit="13" ySplit="6" topLeftCell="T34" activePane="bottomRight" state="frozen"/>
      <selection pane="topLeft" activeCell="A1" sqref="A1"/>
      <selection pane="topRight" activeCell="N1" sqref="N1"/>
      <selection pane="bottomLeft" activeCell="A7" sqref="A7"/>
      <selection pane="bottomRight" activeCell="W49" sqref="W49"/>
    </sheetView>
  </sheetViews>
  <sheetFormatPr defaultColWidth="9.00390625" defaultRowHeight="12.75"/>
  <cols>
    <col min="1" max="1" width="59.25390625" style="42" customWidth="1"/>
    <col min="2" max="11" width="11.75390625" style="42" hidden="1" customWidth="1"/>
    <col min="12" max="12" width="12.00390625" style="42" hidden="1" customWidth="1"/>
    <col min="13" max="13" width="17.00390625" style="42" hidden="1" customWidth="1"/>
    <col min="14" max="21" width="17.00390625" style="42" customWidth="1"/>
    <col min="22" max="22" width="16.75390625" style="42" customWidth="1"/>
    <col min="23" max="23" width="11.875" style="130" customWidth="1"/>
    <col min="24" max="24" width="17.375" style="130" customWidth="1"/>
    <col min="25" max="25" width="14.00390625" style="130" customWidth="1"/>
    <col min="26" max="26" width="12.375" style="130" customWidth="1"/>
    <col min="27" max="28" width="9.125" style="130" customWidth="1"/>
    <col min="29" max="16384" width="9.125" style="42" customWidth="1"/>
  </cols>
  <sheetData>
    <row r="1" spans="1:22" ht="15.75">
      <c r="A1" s="759" t="s">
        <v>126</v>
      </c>
      <c r="V1" s="760" t="s">
        <v>384</v>
      </c>
    </row>
    <row r="3" spans="1:22" ht="18">
      <c r="A3" s="954" t="s">
        <v>385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</row>
    <row r="4" spans="1:22" ht="13.5" thickBot="1">
      <c r="A4" s="761"/>
      <c r="B4" s="761"/>
      <c r="C4" s="761"/>
      <c r="D4" s="761"/>
      <c r="E4" s="761"/>
      <c r="F4" s="761"/>
      <c r="G4" s="761"/>
      <c r="H4" s="761"/>
      <c r="I4" s="761"/>
      <c r="J4" s="761"/>
      <c r="K4" s="762"/>
      <c r="L4" s="762"/>
      <c r="N4" s="763"/>
      <c r="O4" s="763"/>
      <c r="P4" s="763"/>
      <c r="Q4" s="763"/>
      <c r="R4" s="763"/>
      <c r="S4" s="763"/>
      <c r="T4" s="763"/>
      <c r="U4" s="763"/>
      <c r="V4" s="763" t="s">
        <v>91</v>
      </c>
    </row>
    <row r="5" spans="1:22" ht="39.75" customHeight="1" thickBot="1">
      <c r="A5" s="764" t="s">
        <v>386</v>
      </c>
      <c r="B5" s="765" t="s">
        <v>387</v>
      </c>
      <c r="C5" s="765" t="s">
        <v>388</v>
      </c>
      <c r="D5" s="765" t="s">
        <v>389</v>
      </c>
      <c r="E5" s="765" t="s">
        <v>390</v>
      </c>
      <c r="F5" s="765" t="s">
        <v>391</v>
      </c>
      <c r="G5" s="765" t="s">
        <v>392</v>
      </c>
      <c r="H5" s="765" t="s">
        <v>393</v>
      </c>
      <c r="I5" s="765" t="s">
        <v>394</v>
      </c>
      <c r="J5" s="765" t="s">
        <v>395</v>
      </c>
      <c r="K5" s="765" t="s">
        <v>396</v>
      </c>
      <c r="L5" s="765" t="s">
        <v>397</v>
      </c>
      <c r="M5" s="766" t="s">
        <v>398</v>
      </c>
      <c r="N5" s="767" t="s">
        <v>399</v>
      </c>
      <c r="O5" s="767" t="s">
        <v>400</v>
      </c>
      <c r="P5" s="768" t="s">
        <v>401</v>
      </c>
      <c r="Q5" s="768" t="s">
        <v>402</v>
      </c>
      <c r="R5" s="768" t="s">
        <v>403</v>
      </c>
      <c r="S5" s="768" t="s">
        <v>404</v>
      </c>
      <c r="T5" s="768" t="s">
        <v>405</v>
      </c>
      <c r="U5" s="768" t="s">
        <v>406</v>
      </c>
      <c r="V5" s="769" t="s">
        <v>407</v>
      </c>
    </row>
    <row r="6" spans="1:22" ht="14.25">
      <c r="A6" s="770"/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2"/>
      <c r="M6" s="773"/>
      <c r="N6" s="774"/>
      <c r="O6" s="774"/>
      <c r="P6" s="773"/>
      <c r="Q6" s="775"/>
      <c r="R6" s="775"/>
      <c r="S6" s="775"/>
      <c r="T6" s="775"/>
      <c r="U6" s="775"/>
      <c r="V6" s="776"/>
    </row>
    <row r="7" spans="1:22" ht="15">
      <c r="A7" s="777" t="s">
        <v>408</v>
      </c>
      <c r="B7" s="778">
        <v>2184630</v>
      </c>
      <c r="C7" s="778">
        <v>2599678</v>
      </c>
      <c r="D7" s="778">
        <v>3381679</v>
      </c>
      <c r="E7" s="778">
        <v>3676044</v>
      </c>
      <c r="F7" s="778">
        <v>3849359</v>
      </c>
      <c r="G7" s="778">
        <v>3540245</v>
      </c>
      <c r="H7" s="778">
        <v>3722534</v>
      </c>
      <c r="I7" s="778">
        <v>3811742</v>
      </c>
      <c r="J7" s="778">
        <v>4880203</v>
      </c>
      <c r="K7" s="778">
        <v>5766027</v>
      </c>
      <c r="L7" s="778">
        <v>6420538</v>
      </c>
      <c r="M7" s="779">
        <f>M8+M10</f>
        <v>6945471</v>
      </c>
      <c r="N7" s="780">
        <f>SUM(N8+N10)</f>
        <v>8041294</v>
      </c>
      <c r="O7" s="781">
        <f>SUM(O8+O10)</f>
        <v>10777246</v>
      </c>
      <c r="P7" s="779">
        <f>SUM(P8+P10)</f>
        <v>9129596.52</v>
      </c>
      <c r="Q7" s="779">
        <f>SUM(Q8+Q10)</f>
        <v>9248632</v>
      </c>
      <c r="R7" s="779">
        <f>SUM(R8+R10+R11)</f>
        <v>8258297</v>
      </c>
      <c r="S7" s="779">
        <f>SUM(S8+S10+S11)</f>
        <v>8830222</v>
      </c>
      <c r="T7" s="779">
        <v>7800515</v>
      </c>
      <c r="U7" s="779">
        <f>U8+U10+U11</f>
        <v>7950598.42</v>
      </c>
      <c r="V7" s="782">
        <f>SUM(V8+V10+V11)</f>
        <v>6762545</v>
      </c>
    </row>
    <row r="8" spans="1:25" ht="14.25">
      <c r="A8" s="783" t="s">
        <v>409</v>
      </c>
      <c r="B8" s="784">
        <v>1861383</v>
      </c>
      <c r="C8" s="784">
        <v>2270532</v>
      </c>
      <c r="D8" s="784">
        <v>2826957</v>
      </c>
      <c r="E8" s="784">
        <v>3119388</v>
      </c>
      <c r="F8" s="784">
        <v>3006009</v>
      </c>
      <c r="G8" s="784">
        <v>3104569</v>
      </c>
      <c r="H8" s="784">
        <v>3398643</v>
      </c>
      <c r="I8" s="784">
        <v>3485784</v>
      </c>
      <c r="J8" s="784">
        <v>4417989</v>
      </c>
      <c r="K8" s="784">
        <v>4960978</v>
      </c>
      <c r="L8" s="784">
        <v>5454470</v>
      </c>
      <c r="M8" s="785">
        <v>5713826</v>
      </c>
      <c r="N8" s="786">
        <v>6398546</v>
      </c>
      <c r="O8" s="786">
        <v>6551027</v>
      </c>
      <c r="P8" s="785">
        <v>7003512.33</v>
      </c>
      <c r="Q8" s="785">
        <v>7023345</v>
      </c>
      <c r="R8" s="785">
        <v>6824105</v>
      </c>
      <c r="S8" s="785">
        <v>6656850</v>
      </c>
      <c r="T8" s="785">
        <v>5886542</v>
      </c>
      <c r="U8" s="785">
        <v>5591896.84</v>
      </c>
      <c r="V8" s="787">
        <v>5608927</v>
      </c>
      <c r="Y8" s="788"/>
    </row>
    <row r="9" spans="1:26" ht="14.25">
      <c r="A9" s="783" t="s">
        <v>410</v>
      </c>
      <c r="B9" s="784"/>
      <c r="C9" s="784"/>
      <c r="D9" s="784"/>
      <c r="E9" s="784"/>
      <c r="F9" s="784">
        <v>2299176</v>
      </c>
      <c r="G9" s="784">
        <v>2374086</v>
      </c>
      <c r="H9" s="784">
        <v>2598970</v>
      </c>
      <c r="I9" s="784">
        <v>2665607</v>
      </c>
      <c r="J9" s="784">
        <v>3378372</v>
      </c>
      <c r="K9" s="784">
        <v>3793638</v>
      </c>
      <c r="L9" s="784">
        <v>4170967</v>
      </c>
      <c r="M9" s="785">
        <v>4677966</v>
      </c>
      <c r="N9" s="786">
        <v>5268749</v>
      </c>
      <c r="O9" s="786">
        <v>5394329</v>
      </c>
      <c r="P9" s="785">
        <v>5766971</v>
      </c>
      <c r="Q9" s="785">
        <v>5783329</v>
      </c>
      <c r="R9" s="785">
        <v>6026512</v>
      </c>
      <c r="S9" s="785">
        <v>6027439</v>
      </c>
      <c r="T9" s="785">
        <v>5361666</v>
      </c>
      <c r="U9" s="785">
        <v>5095865.72</v>
      </c>
      <c r="V9" s="787">
        <v>5008052</v>
      </c>
      <c r="Z9" s="788"/>
    </row>
    <row r="10" spans="1:22" ht="14.25">
      <c r="A10" s="783" t="s">
        <v>411</v>
      </c>
      <c r="B10" s="784">
        <v>323247</v>
      </c>
      <c r="C10" s="784">
        <v>329146</v>
      </c>
      <c r="D10" s="784">
        <v>554722</v>
      </c>
      <c r="E10" s="784">
        <v>556656</v>
      </c>
      <c r="F10" s="784">
        <v>843350</v>
      </c>
      <c r="G10" s="784">
        <v>435676</v>
      </c>
      <c r="H10" s="784">
        <v>323891</v>
      </c>
      <c r="I10" s="784">
        <v>325958</v>
      </c>
      <c r="J10" s="784">
        <v>462214</v>
      </c>
      <c r="K10" s="784">
        <v>805049</v>
      </c>
      <c r="L10" s="784">
        <v>966068</v>
      </c>
      <c r="M10" s="785">
        <v>1231645</v>
      </c>
      <c r="N10" s="786">
        <v>1642748</v>
      </c>
      <c r="O10" s="786">
        <v>4226219</v>
      </c>
      <c r="P10" s="785">
        <f>439331.74+149813.32+1536939.13</f>
        <v>2126084.19</v>
      </c>
      <c r="Q10" s="785">
        <v>2225287</v>
      </c>
      <c r="R10" s="785">
        <v>1423259</v>
      </c>
      <c r="S10" s="785">
        <v>2160570</v>
      </c>
      <c r="T10" s="785">
        <v>1899374</v>
      </c>
      <c r="U10" s="785">
        <v>2344359.66</v>
      </c>
      <c r="V10" s="787">
        <v>1140618</v>
      </c>
    </row>
    <row r="11" spans="1:26" ht="14.25">
      <c r="A11" s="783" t="s">
        <v>412</v>
      </c>
      <c r="B11" s="784"/>
      <c r="C11" s="784"/>
      <c r="D11" s="784"/>
      <c r="E11" s="784"/>
      <c r="F11" s="784"/>
      <c r="G11" s="784"/>
      <c r="H11" s="784"/>
      <c r="I11" s="784"/>
      <c r="J11" s="784"/>
      <c r="K11" s="784"/>
      <c r="L11" s="789" t="s">
        <v>309</v>
      </c>
      <c r="M11" s="789" t="s">
        <v>309</v>
      </c>
      <c r="N11" s="790" t="s">
        <v>309</v>
      </c>
      <c r="O11" s="790" t="s">
        <v>309</v>
      </c>
      <c r="P11" s="791" t="s">
        <v>309</v>
      </c>
      <c r="Q11" s="791" t="s">
        <v>309</v>
      </c>
      <c r="R11" s="785">
        <v>10933</v>
      </c>
      <c r="S11" s="785">
        <v>12802</v>
      </c>
      <c r="T11" s="785">
        <v>14599</v>
      </c>
      <c r="U11" s="785">
        <v>14341.92</v>
      </c>
      <c r="V11" s="787">
        <v>13000</v>
      </c>
      <c r="X11" s="788"/>
      <c r="Y11" s="792"/>
      <c r="Z11" s="793"/>
    </row>
    <row r="12" spans="1:26" ht="14.25">
      <c r="A12" s="783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5"/>
      <c r="M12" s="796"/>
      <c r="N12" s="797"/>
      <c r="O12" s="798"/>
      <c r="P12" s="799"/>
      <c r="Q12" s="799"/>
      <c r="R12" s="799"/>
      <c r="S12" s="799"/>
      <c r="T12" s="799"/>
      <c r="U12" s="799"/>
      <c r="V12" s="800"/>
      <c r="Z12" s="793"/>
    </row>
    <row r="13" spans="1:26" ht="15">
      <c r="A13" s="777" t="s">
        <v>413</v>
      </c>
      <c r="B13" s="778">
        <v>16540704</v>
      </c>
      <c r="C13" s="778">
        <v>19962546</v>
      </c>
      <c r="D13" s="778">
        <v>22262993</v>
      </c>
      <c r="E13" s="778">
        <v>26614103</v>
      </c>
      <c r="F13" s="778">
        <v>26285720</v>
      </c>
      <c r="G13" s="778">
        <v>27161846</v>
      </c>
      <c r="H13" s="778">
        <v>28965733</v>
      </c>
      <c r="I13" s="778">
        <v>32702908</v>
      </c>
      <c r="J13" s="778">
        <v>36903150</v>
      </c>
      <c r="K13" s="778">
        <v>40969999</v>
      </c>
      <c r="L13" s="778">
        <f>SUM(L14:L17)-884</f>
        <v>45006355</v>
      </c>
      <c r="M13" s="801">
        <f>SUM(M14:M17)-598</f>
        <v>47669199</v>
      </c>
      <c r="N13" s="780">
        <f>SUM(N14:N17)-996</f>
        <v>51516745</v>
      </c>
      <c r="O13" s="781">
        <f>SUM(O14:O17)-1040</f>
        <v>55610478</v>
      </c>
      <c r="P13" s="779">
        <f>SUM(P14:P17)-2132</f>
        <v>58233846.388</v>
      </c>
      <c r="Q13" s="779">
        <f>SUM(Q14:Q17)-2709</f>
        <v>59828400.815</v>
      </c>
      <c r="R13" s="779">
        <f>SUM(R14:R17)-3517</f>
        <v>59756108.569999985</v>
      </c>
      <c r="S13" s="779">
        <f>SUM(S14:S17)-4754</f>
        <v>59464345</v>
      </c>
      <c r="T13" s="779">
        <f>SUM(T14:T17)-10996</f>
        <v>53783098</v>
      </c>
      <c r="U13" s="779">
        <f>SUM(U14:U17)-9593.96799-3029.87332</f>
        <v>53509978.9301</v>
      </c>
      <c r="V13" s="782">
        <f>SUM(V14:V17)-10045</f>
        <v>52292118</v>
      </c>
      <c r="X13" s="788"/>
      <c r="Y13" s="788"/>
      <c r="Z13" s="788"/>
    </row>
    <row r="14" spans="1:27" ht="15">
      <c r="A14" s="777" t="s">
        <v>414</v>
      </c>
      <c r="B14" s="778">
        <v>893335</v>
      </c>
      <c r="C14" s="778">
        <v>1369069</v>
      </c>
      <c r="D14" s="778">
        <v>2463595</v>
      </c>
      <c r="E14" s="778">
        <v>3655657</v>
      </c>
      <c r="F14" s="778">
        <v>3160778</v>
      </c>
      <c r="G14" s="778">
        <v>3114618</v>
      </c>
      <c r="H14" s="778">
        <v>2880670</v>
      </c>
      <c r="I14" s="778">
        <v>5350844</v>
      </c>
      <c r="J14" s="778">
        <v>2939061</v>
      </c>
      <c r="K14" s="778">
        <v>3523235</v>
      </c>
      <c r="L14" s="778">
        <v>3709460</v>
      </c>
      <c r="M14" s="779">
        <v>3999177</v>
      </c>
      <c r="N14" s="780">
        <v>5304676</v>
      </c>
      <c r="O14" s="781">
        <v>7704261</v>
      </c>
      <c r="P14" s="779">
        <f>8532553.46-890573.85-270508.64</f>
        <v>7371470.970000002</v>
      </c>
      <c r="Q14" s="779">
        <v>8083325.01</v>
      </c>
      <c r="R14" s="779">
        <v>3805282.19</v>
      </c>
      <c r="S14" s="779">
        <v>2144486</v>
      </c>
      <c r="T14" s="779">
        <v>2433938</v>
      </c>
      <c r="U14" s="779">
        <v>2516272.83</v>
      </c>
      <c r="V14" s="782">
        <v>2202942</v>
      </c>
      <c r="X14" s="788"/>
      <c r="Z14" s="788"/>
      <c r="AA14" s="792"/>
    </row>
    <row r="15" spans="1:28" s="803" customFormat="1" ht="17.25">
      <c r="A15" s="777" t="s">
        <v>441</v>
      </c>
      <c r="B15" s="778"/>
      <c r="C15" s="778"/>
      <c r="D15" s="778"/>
      <c r="E15" s="778">
        <v>24802</v>
      </c>
      <c r="F15" s="778">
        <v>18148</v>
      </c>
      <c r="G15" s="778">
        <v>17940</v>
      </c>
      <c r="H15" s="778">
        <v>10040</v>
      </c>
      <c r="I15" s="778">
        <v>18795</v>
      </c>
      <c r="J15" s="778">
        <v>21217</v>
      </c>
      <c r="K15" s="778">
        <v>19819</v>
      </c>
      <c r="L15" s="778">
        <v>19679</v>
      </c>
      <c r="M15" s="779">
        <v>19728</v>
      </c>
      <c r="N15" s="780">
        <v>22603</v>
      </c>
      <c r="O15" s="781">
        <v>29568</v>
      </c>
      <c r="P15" s="779">
        <f>79841.18-2967.2-69.45</f>
        <v>76804.53</v>
      </c>
      <c r="Q15" s="779">
        <v>45316.73</v>
      </c>
      <c r="R15" s="779">
        <v>53390.32</v>
      </c>
      <c r="S15" s="779">
        <v>123906</v>
      </c>
      <c r="T15" s="779">
        <v>424650</v>
      </c>
      <c r="U15" s="779">
        <v>522774.19</v>
      </c>
      <c r="V15" s="782">
        <v>622233</v>
      </c>
      <c r="W15" s="802"/>
      <c r="X15" s="802"/>
      <c r="Y15" s="802"/>
      <c r="Z15" s="802"/>
      <c r="AA15" s="802"/>
      <c r="AB15" s="802"/>
    </row>
    <row r="16" spans="1:28" s="803" customFormat="1" ht="15">
      <c r="A16" s="777" t="s">
        <v>415</v>
      </c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778">
        <v>884129</v>
      </c>
      <c r="M16" s="779">
        <v>1386188</v>
      </c>
      <c r="N16" s="780">
        <v>3027140</v>
      </c>
      <c r="O16" s="781">
        <v>2066692</v>
      </c>
      <c r="P16" s="804">
        <v>1786112.54</v>
      </c>
      <c r="Q16" s="805" t="s">
        <v>309</v>
      </c>
      <c r="R16" s="805" t="s">
        <v>309</v>
      </c>
      <c r="S16" s="805" t="s">
        <v>309</v>
      </c>
      <c r="T16" s="805" t="s">
        <v>309</v>
      </c>
      <c r="U16" s="805" t="s">
        <v>309</v>
      </c>
      <c r="V16" s="806" t="s">
        <v>309</v>
      </c>
      <c r="W16" s="802"/>
      <c r="X16" s="807"/>
      <c r="Y16" s="802"/>
      <c r="Z16" s="802"/>
      <c r="AA16" s="802"/>
      <c r="AB16" s="802"/>
    </row>
    <row r="17" spans="1:22" ht="15">
      <c r="A17" s="777" t="s">
        <v>416</v>
      </c>
      <c r="B17" s="778">
        <v>15647369</v>
      </c>
      <c r="C17" s="778">
        <v>18593477</v>
      </c>
      <c r="D17" s="778">
        <v>19799398</v>
      </c>
      <c r="E17" s="778">
        <v>22933644</v>
      </c>
      <c r="F17" s="778">
        <v>23106794</v>
      </c>
      <c r="G17" s="778">
        <v>24029288</v>
      </c>
      <c r="H17" s="778">
        <v>26075023</v>
      </c>
      <c r="I17" s="778">
        <v>27333269</v>
      </c>
      <c r="J17" s="778">
        <v>33942872</v>
      </c>
      <c r="K17" s="778">
        <v>37426945</v>
      </c>
      <c r="L17" s="778">
        <f aca="true" t="shared" si="0" ref="L17:V17">SUM(L19:L24)</f>
        <v>40393971</v>
      </c>
      <c r="M17" s="801">
        <f t="shared" si="0"/>
        <v>42264704</v>
      </c>
      <c r="N17" s="780">
        <f t="shared" si="0"/>
        <v>43163322</v>
      </c>
      <c r="O17" s="781">
        <f t="shared" si="0"/>
        <v>45810997</v>
      </c>
      <c r="P17" s="779">
        <f t="shared" si="0"/>
        <v>49001590.348</v>
      </c>
      <c r="Q17" s="779">
        <f t="shared" si="0"/>
        <v>51702468.074999996</v>
      </c>
      <c r="R17" s="779">
        <f t="shared" si="0"/>
        <v>55900953.05999999</v>
      </c>
      <c r="S17" s="779">
        <f t="shared" si="0"/>
        <v>57200707</v>
      </c>
      <c r="T17" s="779">
        <f t="shared" si="0"/>
        <v>50935506</v>
      </c>
      <c r="U17" s="779">
        <f t="shared" si="0"/>
        <v>50483555.75141</v>
      </c>
      <c r="V17" s="782">
        <f t="shared" si="0"/>
        <v>49476988</v>
      </c>
    </row>
    <row r="18" spans="1:22" ht="14.25">
      <c r="A18" s="783" t="s">
        <v>417</v>
      </c>
      <c r="B18" s="784"/>
      <c r="C18" s="784"/>
      <c r="D18" s="784"/>
      <c r="E18" s="784"/>
      <c r="F18" s="794"/>
      <c r="G18" s="794"/>
      <c r="H18" s="794"/>
      <c r="I18" s="794"/>
      <c r="J18" s="794"/>
      <c r="K18" s="794"/>
      <c r="L18" s="795"/>
      <c r="M18" s="796"/>
      <c r="N18" s="797"/>
      <c r="O18" s="798"/>
      <c r="P18" s="799"/>
      <c r="Q18" s="799"/>
      <c r="R18" s="799"/>
      <c r="S18" s="799"/>
      <c r="T18" s="799"/>
      <c r="U18" s="799"/>
      <c r="V18" s="800"/>
    </row>
    <row r="19" spans="1:22" ht="16.5">
      <c r="A19" s="783" t="s">
        <v>442</v>
      </c>
      <c r="B19" s="784">
        <v>6171043</v>
      </c>
      <c r="C19" s="784">
        <v>7872043</v>
      </c>
      <c r="D19" s="784">
        <v>10072856</v>
      </c>
      <c r="E19" s="784">
        <v>10907304</v>
      </c>
      <c r="F19" s="784">
        <v>11747617</v>
      </c>
      <c r="G19" s="784">
        <v>11647992</v>
      </c>
      <c r="H19" s="784">
        <v>12903293</v>
      </c>
      <c r="I19" s="784">
        <v>13152476</v>
      </c>
      <c r="J19" s="784">
        <v>16478311</v>
      </c>
      <c r="K19" s="784">
        <v>18375403</v>
      </c>
      <c r="L19" s="784">
        <v>20127308</v>
      </c>
      <c r="M19" s="785">
        <v>21240215</v>
      </c>
      <c r="N19" s="786">
        <v>23220063</v>
      </c>
      <c r="O19" s="786">
        <v>23930626</v>
      </c>
      <c r="P19" s="785">
        <v>25677160.83</v>
      </c>
      <c r="Q19" s="785">
        <v>25774833</v>
      </c>
      <c r="R19" s="785">
        <f>26170558.71+617240.31</f>
        <v>26787799.02</v>
      </c>
      <c r="S19" s="785">
        <v>26544703</v>
      </c>
      <c r="T19" s="785">
        <v>23675738</v>
      </c>
      <c r="U19" s="785">
        <v>22539153.93</v>
      </c>
      <c r="V19" s="787">
        <v>22120690</v>
      </c>
    </row>
    <row r="20" spans="1:22" ht="16.5">
      <c r="A20" s="783" t="s">
        <v>443</v>
      </c>
      <c r="B20" s="784">
        <v>2074597</v>
      </c>
      <c r="C20" s="784">
        <v>2672123</v>
      </c>
      <c r="D20" s="784">
        <v>3255184</v>
      </c>
      <c r="E20" s="784">
        <v>4218593</v>
      </c>
      <c r="F20" s="784">
        <v>4077869</v>
      </c>
      <c r="G20" s="784">
        <v>4168996</v>
      </c>
      <c r="H20" s="784">
        <v>4682757</v>
      </c>
      <c r="I20" s="784">
        <v>4762695</v>
      </c>
      <c r="J20" s="784">
        <v>5971350</v>
      </c>
      <c r="K20" s="784">
        <v>6650119</v>
      </c>
      <c r="L20" s="784">
        <v>7294162</v>
      </c>
      <c r="M20" s="808">
        <v>7724405</v>
      </c>
      <c r="N20" s="786">
        <v>8441378</v>
      </c>
      <c r="O20" s="786">
        <f>8231991+468415</f>
        <v>8700406</v>
      </c>
      <c r="P20" s="785">
        <f>8824344.73+501914.64</f>
        <v>9326259.370000001</v>
      </c>
      <c r="Q20" s="785">
        <f>8853854.65+503771.35</f>
        <v>9357626</v>
      </c>
      <c r="R20" s="785">
        <f>8933685.6+523393.62</f>
        <v>9457079.219999999</v>
      </c>
      <c r="S20" s="785">
        <f>8766551+520460</f>
        <v>9287011</v>
      </c>
      <c r="T20" s="785">
        <v>8007294</v>
      </c>
      <c r="U20" s="785">
        <f>7457553.3+221890.41</f>
        <v>7679443.71</v>
      </c>
      <c r="V20" s="787">
        <f>7454390+218298</f>
        <v>7672688</v>
      </c>
    </row>
    <row r="21" spans="1:22" ht="14.25">
      <c r="A21" s="783" t="s">
        <v>418</v>
      </c>
      <c r="B21" s="784">
        <v>1523017</v>
      </c>
      <c r="C21" s="784">
        <v>1682398</v>
      </c>
      <c r="D21" s="784">
        <v>1981775</v>
      </c>
      <c r="E21" s="784">
        <v>2220806</v>
      </c>
      <c r="F21" s="784">
        <v>2451248</v>
      </c>
      <c r="G21" s="784">
        <v>2760686</v>
      </c>
      <c r="H21" s="784">
        <v>3062731</v>
      </c>
      <c r="I21" s="784">
        <v>3205198</v>
      </c>
      <c r="J21" s="784">
        <v>3518349</v>
      </c>
      <c r="K21" s="784">
        <v>3827208</v>
      </c>
      <c r="L21" s="784">
        <v>3949884</v>
      </c>
      <c r="M21" s="785">
        <v>4112755</v>
      </c>
      <c r="N21" s="786">
        <v>4875183</v>
      </c>
      <c r="O21" s="786">
        <f>2999454+2261590</f>
        <v>5261044</v>
      </c>
      <c r="P21" s="785">
        <f>3337271.37-587.26+3004503.56-72546.62</f>
        <v>6268641.05</v>
      </c>
      <c r="Q21" s="785">
        <f>3566076.65+3951395.5</f>
        <v>7517472.15</v>
      </c>
      <c r="R21" s="785">
        <f>3863476.7+3591362.1</f>
        <v>7454838.800000001</v>
      </c>
      <c r="S21" s="785">
        <f>4034918+4058141</f>
        <v>8093059</v>
      </c>
      <c r="T21" s="785">
        <v>8655966</v>
      </c>
      <c r="U21" s="785">
        <f>4516600.04+4089747.95</f>
        <v>8606347.99</v>
      </c>
      <c r="V21" s="787">
        <f>5024888+4702586</f>
        <v>9727474</v>
      </c>
    </row>
    <row r="22" spans="1:26" ht="14.25">
      <c r="A22" s="783" t="s">
        <v>419</v>
      </c>
      <c r="B22" s="784">
        <v>1395251</v>
      </c>
      <c r="C22" s="784">
        <v>55957</v>
      </c>
      <c r="D22" s="784">
        <v>85103</v>
      </c>
      <c r="E22" s="784">
        <v>122713</v>
      </c>
      <c r="F22" s="784">
        <v>111525</v>
      </c>
      <c r="G22" s="784">
        <v>159435</v>
      </c>
      <c r="H22" s="784">
        <v>281209</v>
      </c>
      <c r="I22" s="784">
        <v>379624</v>
      </c>
      <c r="J22" s="784">
        <v>492871</v>
      </c>
      <c r="K22" s="784">
        <v>521497</v>
      </c>
      <c r="L22" s="784">
        <v>575133</v>
      </c>
      <c r="M22" s="785">
        <v>619167</v>
      </c>
      <c r="N22" s="786">
        <v>691130</v>
      </c>
      <c r="O22" s="786">
        <v>723725</v>
      </c>
      <c r="P22" s="785">
        <v>865918</v>
      </c>
      <c r="Q22" s="785">
        <v>993568.65</v>
      </c>
      <c r="R22" s="785">
        <v>974993.5</v>
      </c>
      <c r="S22" s="785">
        <f>993366-36112-17496-1691</f>
        <v>938067</v>
      </c>
      <c r="T22" s="785">
        <f>980520-104558-139790-4216-13</f>
        <v>731943</v>
      </c>
      <c r="U22" s="785">
        <f>772468.29226+3779.91374</f>
        <v>776248.206</v>
      </c>
      <c r="V22" s="787">
        <v>530417</v>
      </c>
      <c r="X22" s="788"/>
      <c r="Z22" s="788"/>
    </row>
    <row r="23" spans="1:22" ht="14.25">
      <c r="A23" s="783" t="s">
        <v>420</v>
      </c>
      <c r="B23" s="784">
        <v>39000</v>
      </c>
      <c r="C23" s="784">
        <v>63500</v>
      </c>
      <c r="D23" s="784">
        <v>71711</v>
      </c>
      <c r="E23" s="784">
        <v>65868</v>
      </c>
      <c r="F23" s="784">
        <v>60300</v>
      </c>
      <c r="G23" s="784">
        <v>54543</v>
      </c>
      <c r="H23" s="784">
        <v>39211</v>
      </c>
      <c r="I23" s="784">
        <v>30050</v>
      </c>
      <c r="J23" s="784">
        <v>33030</v>
      </c>
      <c r="K23" s="784">
        <v>33943</v>
      </c>
      <c r="L23" s="784">
        <v>36454</v>
      </c>
      <c r="M23" s="785">
        <f>42572+110</f>
        <v>42682</v>
      </c>
      <c r="N23" s="786">
        <v>46856</v>
      </c>
      <c r="O23" s="786">
        <f>71465</f>
        <v>71465</v>
      </c>
      <c r="P23" s="785">
        <f>86294.94-50-12.302</f>
        <v>86232.638</v>
      </c>
      <c r="Q23" s="785">
        <v>86856.67</v>
      </c>
      <c r="R23" s="785">
        <v>83458.98</v>
      </c>
      <c r="S23" s="785">
        <v>91509</v>
      </c>
      <c r="T23" s="785">
        <v>84393</v>
      </c>
      <c r="U23" s="785">
        <v>104465.72</v>
      </c>
      <c r="V23" s="787">
        <v>37834</v>
      </c>
    </row>
    <row r="24" spans="1:22" ht="14.25">
      <c r="A24" s="783" t="s">
        <v>421</v>
      </c>
      <c r="B24" s="784">
        <v>4444461</v>
      </c>
      <c r="C24" s="784">
        <v>6247456</v>
      </c>
      <c r="D24" s="784">
        <v>4332769</v>
      </c>
      <c r="E24" s="784">
        <v>5398360</v>
      </c>
      <c r="F24" s="784">
        <v>4658235</v>
      </c>
      <c r="G24" s="784">
        <v>5237636</v>
      </c>
      <c r="H24" s="784">
        <v>5105822</v>
      </c>
      <c r="I24" s="784">
        <v>5803226</v>
      </c>
      <c r="J24" s="784">
        <v>7448961</v>
      </c>
      <c r="K24" s="784">
        <v>8018775</v>
      </c>
      <c r="L24" s="784">
        <v>8411030</v>
      </c>
      <c r="M24" s="785">
        <v>8525480</v>
      </c>
      <c r="N24" s="809">
        <v>5888712</v>
      </c>
      <c r="O24" s="786">
        <f>7105580+18151</f>
        <v>7123731</v>
      </c>
      <c r="P24" s="785">
        <f>53413159.21-25096118.88-581041.96-8824344.75-86294.94-865918-501914.66-624960.6-6268641.06-3748421.98-40058-260+2132.08+50+12</f>
        <v>6777378.459999999</v>
      </c>
      <c r="Q24" s="785">
        <f>55229471.83-25774833.34-8853854.65-86856.67-993568.65-503771.36-7517472.17-3494739.71-32263.675</f>
        <v>7972111.604999997</v>
      </c>
      <c r="R24" s="785">
        <f>11139266.54+3517</f>
        <v>11142783.54</v>
      </c>
      <c r="S24" s="785">
        <f>12191059+36112+17496+1691</f>
        <v>12246358</v>
      </c>
      <c r="T24" s="785">
        <f>9531595+104558+139790+4216+13</f>
        <v>9780172</v>
      </c>
      <c r="U24" s="785">
        <f>10765272.3541+9593.96799+3029.87332</f>
        <v>10777896.19541</v>
      </c>
      <c r="V24" s="787">
        <v>9387885</v>
      </c>
    </row>
    <row r="25" spans="1:22" ht="14.25">
      <c r="A25" s="783"/>
      <c r="B25" s="784"/>
      <c r="C25" s="784"/>
      <c r="D25" s="784"/>
      <c r="E25" s="784"/>
      <c r="F25" s="784"/>
      <c r="G25" s="784"/>
      <c r="H25" s="784"/>
      <c r="I25" s="784"/>
      <c r="J25" s="784"/>
      <c r="K25" s="794"/>
      <c r="L25" s="795"/>
      <c r="M25" s="796"/>
      <c r="N25" s="797"/>
      <c r="O25" s="798"/>
      <c r="P25" s="799"/>
      <c r="Q25" s="799"/>
      <c r="R25" s="799"/>
      <c r="S25" s="799"/>
      <c r="T25" s="799"/>
      <c r="U25" s="799"/>
      <c r="V25" s="800"/>
    </row>
    <row r="26" spans="1:25" ht="15">
      <c r="A26" s="777" t="s">
        <v>422</v>
      </c>
      <c r="B26" s="778">
        <v>56259</v>
      </c>
      <c r="C26" s="778">
        <v>61856</v>
      </c>
      <c r="D26" s="778">
        <v>59353</v>
      </c>
      <c r="E26" s="778">
        <v>60542</v>
      </c>
      <c r="F26" s="778">
        <v>61174</v>
      </c>
      <c r="G26" s="778">
        <v>60689</v>
      </c>
      <c r="H26" s="778">
        <v>61888</v>
      </c>
      <c r="I26" s="778">
        <v>61879</v>
      </c>
      <c r="J26" s="778">
        <v>70457</v>
      </c>
      <c r="K26" s="778">
        <v>71818</v>
      </c>
      <c r="L26" s="778">
        <v>74214</v>
      </c>
      <c r="M26" s="779">
        <v>74400</v>
      </c>
      <c r="N26" s="780">
        <v>73324</v>
      </c>
      <c r="O26" s="781">
        <f>SUM(O27:O28)</f>
        <v>72474</v>
      </c>
      <c r="P26" s="779">
        <v>71395</v>
      </c>
      <c r="Q26" s="779">
        <f aca="true" t="shared" si="1" ref="Q26:V26">SUM(Q27:Q28)</f>
        <v>68698</v>
      </c>
      <c r="R26" s="779">
        <f t="shared" si="1"/>
        <v>69576</v>
      </c>
      <c r="S26" s="779">
        <f t="shared" si="1"/>
        <v>69573</v>
      </c>
      <c r="T26" s="779">
        <f t="shared" si="1"/>
        <v>65464</v>
      </c>
      <c r="U26" s="779">
        <f t="shared" si="1"/>
        <v>62978</v>
      </c>
      <c r="V26" s="782">
        <f t="shared" si="1"/>
        <v>64542</v>
      </c>
      <c r="Y26" s="793"/>
    </row>
    <row r="27" spans="1:25" ht="14.25">
      <c r="A27" s="783" t="s">
        <v>423</v>
      </c>
      <c r="B27" s="784">
        <v>46779</v>
      </c>
      <c r="C27" s="784">
        <v>51845</v>
      </c>
      <c r="D27" s="784">
        <v>46748</v>
      </c>
      <c r="E27" s="784">
        <v>47160</v>
      </c>
      <c r="F27" s="784">
        <v>45056</v>
      </c>
      <c r="G27" s="784">
        <v>44711</v>
      </c>
      <c r="H27" s="784">
        <v>45094</v>
      </c>
      <c r="I27" s="784">
        <v>45083</v>
      </c>
      <c r="J27" s="784">
        <v>53660</v>
      </c>
      <c r="K27" s="784">
        <v>54733</v>
      </c>
      <c r="L27" s="784">
        <v>56453</v>
      </c>
      <c r="M27" s="808">
        <v>57018</v>
      </c>
      <c r="N27" s="809">
        <v>56360</v>
      </c>
      <c r="O27" s="786">
        <v>55168</v>
      </c>
      <c r="P27" s="785">
        <v>54267</v>
      </c>
      <c r="Q27" s="785">
        <v>52059</v>
      </c>
      <c r="R27" s="785">
        <v>53275</v>
      </c>
      <c r="S27" s="785">
        <v>53142</v>
      </c>
      <c r="T27" s="785">
        <v>50184</v>
      </c>
      <c r="U27" s="785">
        <v>47929</v>
      </c>
      <c r="V27" s="787">
        <v>48598</v>
      </c>
      <c r="Y27" s="793"/>
    </row>
    <row r="28" spans="1:25" ht="14.25">
      <c r="A28" s="783" t="s">
        <v>424</v>
      </c>
      <c r="B28" s="784">
        <v>9480</v>
      </c>
      <c r="C28" s="784">
        <v>10011</v>
      </c>
      <c r="D28" s="784">
        <v>12605</v>
      </c>
      <c r="E28" s="784">
        <v>13382</v>
      </c>
      <c r="F28" s="784">
        <v>16118</v>
      </c>
      <c r="G28" s="784">
        <v>15978</v>
      </c>
      <c r="H28" s="784">
        <v>16794</v>
      </c>
      <c r="I28" s="784">
        <v>16796</v>
      </c>
      <c r="J28" s="784">
        <v>16797</v>
      </c>
      <c r="K28" s="784">
        <v>17085</v>
      </c>
      <c r="L28" s="784">
        <v>17761</v>
      </c>
      <c r="M28" s="808">
        <v>17382</v>
      </c>
      <c r="N28" s="809">
        <v>16964</v>
      </c>
      <c r="O28" s="786">
        <v>17306</v>
      </c>
      <c r="P28" s="785">
        <v>17128</v>
      </c>
      <c r="Q28" s="785">
        <v>16639</v>
      </c>
      <c r="R28" s="785">
        <v>16301</v>
      </c>
      <c r="S28" s="785">
        <v>16431</v>
      </c>
      <c r="T28" s="785">
        <v>15280</v>
      </c>
      <c r="U28" s="785">
        <v>15049</v>
      </c>
      <c r="V28" s="787">
        <v>15944</v>
      </c>
      <c r="Y28" s="793"/>
    </row>
    <row r="29" spans="1:25" ht="14.25">
      <c r="A29" s="783"/>
      <c r="B29" s="794"/>
      <c r="C29" s="794"/>
      <c r="D29" s="794"/>
      <c r="E29" s="794"/>
      <c r="F29" s="794"/>
      <c r="G29" s="794"/>
      <c r="H29" s="794"/>
      <c r="I29" s="794"/>
      <c r="J29" s="794"/>
      <c r="K29" s="794"/>
      <c r="L29" s="795"/>
      <c r="M29" s="810"/>
      <c r="N29" s="797"/>
      <c r="O29" s="798"/>
      <c r="P29" s="799"/>
      <c r="Q29" s="799"/>
      <c r="R29" s="799"/>
      <c r="S29" s="799"/>
      <c r="T29" s="799"/>
      <c r="U29" s="799"/>
      <c r="V29" s="800"/>
      <c r="Y29" s="793"/>
    </row>
    <row r="30" spans="1:25" ht="15">
      <c r="A30" s="777" t="s">
        <v>425</v>
      </c>
      <c r="B30" s="778">
        <v>8840</v>
      </c>
      <c r="C30" s="778">
        <v>10234</v>
      </c>
      <c r="D30" s="778">
        <v>13708</v>
      </c>
      <c r="E30" s="778">
        <v>14895</v>
      </c>
      <c r="F30" s="778">
        <v>15406</v>
      </c>
      <c r="G30" s="778">
        <v>15058</v>
      </c>
      <c r="H30" s="778">
        <v>17001</v>
      </c>
      <c r="I30" s="778">
        <v>17309</v>
      </c>
      <c r="J30" s="778">
        <v>19003</v>
      </c>
      <c r="K30" s="778">
        <v>20760</v>
      </c>
      <c r="L30" s="778">
        <v>22038</v>
      </c>
      <c r="M30" s="779">
        <v>23288</v>
      </c>
      <c r="N30" s="780">
        <v>25809</v>
      </c>
      <c r="O30" s="781">
        <v>26925</v>
      </c>
      <c r="P30" s="779">
        <v>29293</v>
      </c>
      <c r="Q30" s="779">
        <v>30555</v>
      </c>
      <c r="R30" s="779">
        <v>31345</v>
      </c>
      <c r="S30" s="779">
        <v>31172</v>
      </c>
      <c r="T30" s="779">
        <v>29445</v>
      </c>
      <c r="U30" s="779">
        <v>29361</v>
      </c>
      <c r="V30" s="782">
        <v>28185</v>
      </c>
      <c r="Y30" s="793"/>
    </row>
    <row r="31" spans="1:26" ht="14.25">
      <c r="A31" s="783" t="s">
        <v>426</v>
      </c>
      <c r="B31" s="784">
        <v>9777</v>
      </c>
      <c r="C31" s="784">
        <v>12862</v>
      </c>
      <c r="D31" s="784">
        <v>14367</v>
      </c>
      <c r="E31" s="784">
        <v>16279</v>
      </c>
      <c r="F31" s="784">
        <v>16415</v>
      </c>
      <c r="G31" s="784">
        <v>16911</v>
      </c>
      <c r="H31" s="784">
        <v>18576</v>
      </c>
      <c r="I31" s="784">
        <v>18952</v>
      </c>
      <c r="J31" s="784">
        <v>20604</v>
      </c>
      <c r="K31" s="784">
        <v>22473</v>
      </c>
      <c r="L31" s="784">
        <v>23765</v>
      </c>
      <c r="M31" s="808">
        <v>24892</v>
      </c>
      <c r="N31" s="809">
        <v>27914</v>
      </c>
      <c r="O31" s="786">
        <v>29160</v>
      </c>
      <c r="P31" s="785">
        <v>31791</v>
      </c>
      <c r="Q31" s="785">
        <v>33122</v>
      </c>
      <c r="R31" s="785">
        <v>33708</v>
      </c>
      <c r="S31" s="785">
        <v>33515</v>
      </c>
      <c r="T31" s="785">
        <v>31513</v>
      </c>
      <c r="U31" s="785">
        <v>31492</v>
      </c>
      <c r="V31" s="787">
        <v>30705</v>
      </c>
      <c r="Y31" s="793"/>
      <c r="Z31" s="788"/>
    </row>
    <row r="32" spans="1:25" ht="14.25">
      <c r="A32" s="783" t="s">
        <v>427</v>
      </c>
      <c r="B32" s="784">
        <v>6002</v>
      </c>
      <c r="C32" s="784">
        <v>6796</v>
      </c>
      <c r="D32" s="784">
        <v>9276</v>
      </c>
      <c r="E32" s="784">
        <v>10021</v>
      </c>
      <c r="F32" s="784">
        <v>10695</v>
      </c>
      <c r="G32" s="784">
        <v>11129</v>
      </c>
      <c r="H32" s="784">
        <v>12559</v>
      </c>
      <c r="I32" s="784">
        <v>12900</v>
      </c>
      <c r="J32" s="784">
        <v>13888</v>
      </c>
      <c r="K32" s="784">
        <v>15270</v>
      </c>
      <c r="L32" s="784">
        <v>16549</v>
      </c>
      <c r="M32" s="808">
        <v>18026</v>
      </c>
      <c r="N32" s="809">
        <v>18815</v>
      </c>
      <c r="O32" s="786">
        <v>19799</v>
      </c>
      <c r="P32" s="785">
        <v>21377</v>
      </c>
      <c r="Q32" s="785">
        <v>22527</v>
      </c>
      <c r="R32" s="785">
        <v>23623</v>
      </c>
      <c r="S32" s="785">
        <v>23594</v>
      </c>
      <c r="T32" s="785">
        <v>22652</v>
      </c>
      <c r="U32" s="785">
        <v>22575</v>
      </c>
      <c r="V32" s="787">
        <v>20504</v>
      </c>
      <c r="Y32" s="793"/>
    </row>
    <row r="33" spans="1:25" ht="14.25">
      <c r="A33" s="783"/>
      <c r="B33" s="794"/>
      <c r="C33" s="794"/>
      <c r="D33" s="794"/>
      <c r="E33" s="794"/>
      <c r="F33" s="794"/>
      <c r="G33" s="794"/>
      <c r="H33" s="794"/>
      <c r="I33" s="794"/>
      <c r="J33" s="794"/>
      <c r="K33" s="794"/>
      <c r="L33" s="794"/>
      <c r="M33" s="811"/>
      <c r="N33" s="812"/>
      <c r="O33" s="813"/>
      <c r="P33" s="814"/>
      <c r="Q33" s="814"/>
      <c r="R33" s="814"/>
      <c r="S33" s="814"/>
      <c r="T33" s="814"/>
      <c r="U33" s="814"/>
      <c r="V33" s="815"/>
      <c r="Y33" s="793"/>
    </row>
    <row r="34" spans="1:22" ht="15">
      <c r="A34" s="777" t="s">
        <v>428</v>
      </c>
      <c r="B34" s="794"/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811"/>
      <c r="N34" s="812"/>
      <c r="O34" s="813"/>
      <c r="P34" s="814"/>
      <c r="Q34" s="814"/>
      <c r="R34" s="814"/>
      <c r="S34" s="814"/>
      <c r="T34" s="814"/>
      <c r="U34" s="814"/>
      <c r="V34" s="815"/>
    </row>
    <row r="35" spans="1:22" ht="14.25">
      <c r="A35" s="783" t="s">
        <v>429</v>
      </c>
      <c r="B35" s="816">
        <v>68.73</v>
      </c>
      <c r="C35" s="816">
        <v>66.18</v>
      </c>
      <c r="D35" s="816">
        <v>77.94</v>
      </c>
      <c r="E35" s="816">
        <v>76.27</v>
      </c>
      <c r="F35" s="816">
        <v>79.69</v>
      </c>
      <c r="G35" s="816">
        <v>78.01</v>
      </c>
      <c r="H35" s="816">
        <v>80.18</v>
      </c>
      <c r="I35" s="816">
        <v>78.45</v>
      </c>
      <c r="J35" s="816">
        <v>77.71</v>
      </c>
      <c r="K35" s="816">
        <v>78.25</v>
      </c>
      <c r="L35" s="816">
        <f aca="true" t="shared" si="2" ref="L35:V35">(L19+L20+L21)/L17*100</f>
        <v>77.6634562618268</v>
      </c>
      <c r="M35" s="817">
        <f t="shared" si="2"/>
        <v>78.26240780013507</v>
      </c>
      <c r="N35" s="817">
        <f t="shared" si="2"/>
        <v>84.64738650097414</v>
      </c>
      <c r="O35" s="818">
        <f t="shared" si="2"/>
        <v>82.7139300199033</v>
      </c>
      <c r="P35" s="819">
        <f t="shared" si="2"/>
        <v>84.22596278384773</v>
      </c>
      <c r="Q35" s="820">
        <f t="shared" si="2"/>
        <v>82.491093245552</v>
      </c>
      <c r="R35" s="819">
        <f t="shared" si="2"/>
        <v>78.17347406062275</v>
      </c>
      <c r="S35" s="819">
        <f t="shared" si="2"/>
        <v>76.79061204610636</v>
      </c>
      <c r="T35" s="819">
        <f t="shared" si="2"/>
        <v>79.19622512437591</v>
      </c>
      <c r="U35" s="819">
        <f t="shared" si="2"/>
        <v>76.90612329523881</v>
      </c>
      <c r="V35" s="821">
        <f t="shared" si="2"/>
        <v>79.87723909143378</v>
      </c>
    </row>
    <row r="36" spans="1:22" ht="14.25">
      <c r="A36" s="783" t="s">
        <v>430</v>
      </c>
      <c r="B36" s="816">
        <v>31.27</v>
      </c>
      <c r="C36" s="816">
        <v>33.82</v>
      </c>
      <c r="D36" s="816">
        <v>22.06</v>
      </c>
      <c r="E36" s="816">
        <v>23.73</v>
      </c>
      <c r="F36" s="816">
        <v>20.31</v>
      </c>
      <c r="G36" s="816">
        <v>21.99</v>
      </c>
      <c r="H36" s="816">
        <v>19.82</v>
      </c>
      <c r="I36" s="816">
        <v>21.55</v>
      </c>
      <c r="J36" s="816">
        <v>22.29</v>
      </c>
      <c r="K36" s="816">
        <v>21.75</v>
      </c>
      <c r="L36" s="816">
        <f aca="true" t="shared" si="3" ref="L36:V36">100-L35</f>
        <v>22.336543738173205</v>
      </c>
      <c r="M36" s="817">
        <f t="shared" si="3"/>
        <v>21.737592199864935</v>
      </c>
      <c r="N36" s="817">
        <f t="shared" si="3"/>
        <v>15.352613499025864</v>
      </c>
      <c r="O36" s="818">
        <f t="shared" si="3"/>
        <v>17.2860699800967</v>
      </c>
      <c r="P36" s="819">
        <f t="shared" si="3"/>
        <v>15.774037216152266</v>
      </c>
      <c r="Q36" s="820">
        <f t="shared" si="3"/>
        <v>17.508906754448006</v>
      </c>
      <c r="R36" s="819">
        <f t="shared" si="3"/>
        <v>21.826525939377248</v>
      </c>
      <c r="S36" s="819">
        <f t="shared" si="3"/>
        <v>23.20938795389364</v>
      </c>
      <c r="T36" s="819">
        <f t="shared" si="3"/>
        <v>20.803774875624086</v>
      </c>
      <c r="U36" s="819">
        <f t="shared" si="3"/>
        <v>23.093876704761186</v>
      </c>
      <c r="V36" s="821">
        <f t="shared" si="3"/>
        <v>20.12276090856622</v>
      </c>
    </row>
    <row r="37" spans="1:22" ht="14.25">
      <c r="A37" s="783" t="s">
        <v>431</v>
      </c>
      <c r="B37" s="816">
        <v>79</v>
      </c>
      <c r="C37" s="816">
        <v>101</v>
      </c>
      <c r="D37" s="816">
        <v>73</v>
      </c>
      <c r="E37" s="816">
        <v>89.17</v>
      </c>
      <c r="F37" s="816">
        <v>76.15</v>
      </c>
      <c r="G37" s="816">
        <v>86.3</v>
      </c>
      <c r="H37" s="816">
        <v>82.5</v>
      </c>
      <c r="I37" s="816">
        <v>93.78</v>
      </c>
      <c r="J37" s="816">
        <v>105.72</v>
      </c>
      <c r="K37" s="816">
        <v>111.65</v>
      </c>
      <c r="L37" s="816">
        <f aca="true" t="shared" si="4" ref="L37:V37">L24/L26</f>
        <v>113.3348155334573</v>
      </c>
      <c r="M37" s="817">
        <f t="shared" si="4"/>
        <v>114.58978494623656</v>
      </c>
      <c r="N37" s="817">
        <f t="shared" si="4"/>
        <v>80.31083956139872</v>
      </c>
      <c r="O37" s="822">
        <f t="shared" si="4"/>
        <v>98.29360874244557</v>
      </c>
      <c r="P37" s="820">
        <f t="shared" si="4"/>
        <v>94.92791455984312</v>
      </c>
      <c r="Q37" s="820">
        <f t="shared" si="4"/>
        <v>116.04575977466588</v>
      </c>
      <c r="R37" s="820">
        <f t="shared" si="4"/>
        <v>160.1526897205933</v>
      </c>
      <c r="S37" s="820">
        <f t="shared" si="4"/>
        <v>176.02170382188493</v>
      </c>
      <c r="T37" s="820">
        <f t="shared" si="4"/>
        <v>149.39771477453257</v>
      </c>
      <c r="U37" s="820">
        <f t="shared" si="4"/>
        <v>171.13747968195244</v>
      </c>
      <c r="V37" s="823">
        <f t="shared" si="4"/>
        <v>145.45389048991353</v>
      </c>
    </row>
    <row r="38" spans="1:22" ht="14.25">
      <c r="A38" s="783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7"/>
      <c r="M38" s="817"/>
      <c r="N38" s="824"/>
      <c r="O38" s="822"/>
      <c r="P38" s="825"/>
      <c r="Q38" s="826"/>
      <c r="R38" s="825"/>
      <c r="S38" s="825"/>
      <c r="T38" s="825"/>
      <c r="U38" s="825"/>
      <c r="V38" s="827"/>
    </row>
    <row r="39" spans="1:22" ht="14.25">
      <c r="A39" s="783" t="s">
        <v>432</v>
      </c>
      <c r="B39" s="784">
        <v>5337796</v>
      </c>
      <c r="C39" s="784">
        <v>7616525</v>
      </c>
      <c r="D39" s="784">
        <v>6796364</v>
      </c>
      <c r="E39" s="784">
        <v>9054017</v>
      </c>
      <c r="F39" s="784">
        <v>7819013</v>
      </c>
      <c r="G39" s="784">
        <v>8352254</v>
      </c>
      <c r="H39" s="784">
        <v>7986492</v>
      </c>
      <c r="I39" s="784">
        <v>11154070</v>
      </c>
      <c r="J39" s="784">
        <v>10388022</v>
      </c>
      <c r="K39" s="784">
        <v>11542010</v>
      </c>
      <c r="L39" s="784">
        <f>L14+L24</f>
        <v>12120490</v>
      </c>
      <c r="M39" s="808">
        <f>M14+M24</f>
        <v>12524657</v>
      </c>
      <c r="N39" s="808">
        <f>N14+N24</f>
        <v>11193388</v>
      </c>
      <c r="O39" s="786">
        <f>O14+O24</f>
        <v>14827992</v>
      </c>
      <c r="P39" s="785">
        <f aca="true" t="shared" si="5" ref="P39:V39">SUM(P14+P24)</f>
        <v>14148849.43</v>
      </c>
      <c r="Q39" s="828">
        <f t="shared" si="5"/>
        <v>16055436.614999996</v>
      </c>
      <c r="R39" s="785">
        <f t="shared" si="5"/>
        <v>14948065.729999999</v>
      </c>
      <c r="S39" s="785">
        <f t="shared" si="5"/>
        <v>14390844</v>
      </c>
      <c r="T39" s="785">
        <f t="shared" si="5"/>
        <v>12214110</v>
      </c>
      <c r="U39" s="785">
        <f t="shared" si="5"/>
        <v>13294169.02541</v>
      </c>
      <c r="V39" s="787">
        <f t="shared" si="5"/>
        <v>11590827</v>
      </c>
    </row>
    <row r="40" spans="1:22" ht="14.25">
      <c r="A40" s="783" t="s">
        <v>433</v>
      </c>
      <c r="B40" s="816">
        <v>94.88</v>
      </c>
      <c r="C40" s="816">
        <v>123.13</v>
      </c>
      <c r="D40" s="816">
        <v>114.51</v>
      </c>
      <c r="E40" s="816">
        <v>149.55</v>
      </c>
      <c r="F40" s="816">
        <v>127.82</v>
      </c>
      <c r="G40" s="816">
        <v>137.62</v>
      </c>
      <c r="H40" s="816">
        <v>129.05</v>
      </c>
      <c r="I40" s="816">
        <v>180.26</v>
      </c>
      <c r="J40" s="816">
        <v>147.44</v>
      </c>
      <c r="K40" s="816">
        <v>160.71</v>
      </c>
      <c r="L40" s="816">
        <f>L39/L26</f>
        <v>163.31810709569623</v>
      </c>
      <c r="M40" s="817">
        <f>M39/M26</f>
        <v>168.34216397849463</v>
      </c>
      <c r="N40" s="817">
        <f>N39/N26</f>
        <v>152.65653810484972</v>
      </c>
      <c r="O40" s="818">
        <f aca="true" t="shared" si="6" ref="O40:V40">SUM(O39/O26)</f>
        <v>204.59740044705688</v>
      </c>
      <c r="P40" s="819">
        <f t="shared" si="6"/>
        <v>198.17703522655648</v>
      </c>
      <c r="Q40" s="820">
        <f t="shared" si="6"/>
        <v>233.7103935340184</v>
      </c>
      <c r="R40" s="819">
        <f t="shared" si="6"/>
        <v>214.8451438714499</v>
      </c>
      <c r="S40" s="819">
        <f t="shared" si="6"/>
        <v>206.8452416885861</v>
      </c>
      <c r="T40" s="819">
        <f t="shared" si="6"/>
        <v>186.5775082488085</v>
      </c>
      <c r="U40" s="819">
        <f t="shared" si="6"/>
        <v>211.09227072009273</v>
      </c>
      <c r="V40" s="821">
        <f t="shared" si="6"/>
        <v>179.58580459235847</v>
      </c>
    </row>
    <row r="41" spans="1:22" ht="14.25">
      <c r="A41" s="783"/>
      <c r="B41" s="816"/>
      <c r="C41" s="816"/>
      <c r="D41" s="816"/>
      <c r="E41" s="816"/>
      <c r="F41" s="816"/>
      <c r="G41" s="816"/>
      <c r="H41" s="816"/>
      <c r="I41" s="816"/>
      <c r="J41" s="816"/>
      <c r="K41" s="816"/>
      <c r="L41" s="817"/>
      <c r="M41" s="817"/>
      <c r="N41" s="829"/>
      <c r="O41" s="818"/>
      <c r="P41" s="825"/>
      <c r="Q41" s="826"/>
      <c r="R41" s="825"/>
      <c r="S41" s="825"/>
      <c r="T41" s="825"/>
      <c r="U41" s="825"/>
      <c r="V41" s="827"/>
    </row>
    <row r="42" spans="1:22" ht="14.25">
      <c r="A42" s="783" t="s">
        <v>434</v>
      </c>
      <c r="B42" s="816"/>
      <c r="C42" s="816"/>
      <c r="D42" s="784">
        <v>1466681</v>
      </c>
      <c r="E42" s="784">
        <v>1660649</v>
      </c>
      <c r="F42" s="784">
        <v>1785131</v>
      </c>
      <c r="G42" s="784">
        <v>1962483</v>
      </c>
      <c r="H42" s="784">
        <v>2041353</v>
      </c>
      <c r="I42" s="784">
        <v>2150058</v>
      </c>
      <c r="J42" s="784">
        <v>2315255</v>
      </c>
      <c r="K42" s="784">
        <v>2414669</v>
      </c>
      <c r="L42" s="784">
        <v>2577000000</v>
      </c>
      <c r="M42" s="808">
        <v>2815000000</v>
      </c>
      <c r="N42" s="809">
        <v>2984000000</v>
      </c>
      <c r="O42" s="786">
        <v>3222000000</v>
      </c>
      <c r="P42" s="785">
        <v>3663000000</v>
      </c>
      <c r="Q42" s="785">
        <v>3848000000</v>
      </c>
      <c r="R42" s="785">
        <v>3759000000</v>
      </c>
      <c r="S42" s="785">
        <v>3800000000</v>
      </c>
      <c r="T42" s="785">
        <v>3841000000</v>
      </c>
      <c r="U42" s="785">
        <v>3840000000</v>
      </c>
      <c r="V42" s="787">
        <v>3863000000</v>
      </c>
    </row>
    <row r="43" spans="1:22" ht="15" thickBot="1">
      <c r="A43" s="830" t="s">
        <v>435</v>
      </c>
      <c r="B43" s="831"/>
      <c r="C43" s="831"/>
      <c r="D43" s="831">
        <v>1.52</v>
      </c>
      <c r="E43" s="832">
        <v>1.6</v>
      </c>
      <c r="F43" s="831">
        <v>1.47</v>
      </c>
      <c r="G43" s="831">
        <v>1.38</v>
      </c>
      <c r="H43" s="831">
        <v>1.42</v>
      </c>
      <c r="I43" s="831">
        <v>1.52</v>
      </c>
      <c r="J43" s="831">
        <v>1.59</v>
      </c>
      <c r="K43" s="832">
        <v>1.7</v>
      </c>
      <c r="L43" s="832">
        <f aca="true" t="shared" si="7" ref="L43:V43">L13/L42*100</f>
        <v>1.746463135428793</v>
      </c>
      <c r="M43" s="833">
        <f t="shared" si="7"/>
        <v>1.6933996092362342</v>
      </c>
      <c r="N43" s="833">
        <f t="shared" si="7"/>
        <v>1.7264324731903486</v>
      </c>
      <c r="O43" s="834">
        <f t="shared" si="7"/>
        <v>1.7259614525139664</v>
      </c>
      <c r="P43" s="834">
        <f t="shared" si="7"/>
        <v>1.589785596177996</v>
      </c>
      <c r="Q43" s="835">
        <f t="shared" si="7"/>
        <v>1.5547921209719335</v>
      </c>
      <c r="R43" s="834">
        <f t="shared" si="7"/>
        <v>1.5896809941473793</v>
      </c>
      <c r="S43" s="834">
        <f t="shared" si="7"/>
        <v>1.5648511842105264</v>
      </c>
      <c r="T43" s="834">
        <f t="shared" si="7"/>
        <v>1.4002368653996355</v>
      </c>
      <c r="U43" s="834">
        <f t="shared" si="7"/>
        <v>1.3934890346380209</v>
      </c>
      <c r="V43" s="836">
        <f t="shared" si="7"/>
        <v>1.353666010872379</v>
      </c>
    </row>
    <row r="44" spans="1:21" ht="7.5" customHeight="1">
      <c r="A44" s="837"/>
      <c r="B44" s="838"/>
      <c r="C44" s="838"/>
      <c r="D44" s="838"/>
      <c r="E44" s="839"/>
      <c r="F44" s="838"/>
      <c r="G44" s="838"/>
      <c r="H44" s="838"/>
      <c r="I44" s="838"/>
      <c r="J44" s="838"/>
      <c r="K44" s="839"/>
      <c r="L44" s="840"/>
      <c r="M44" s="840"/>
      <c r="N44" s="840"/>
      <c r="O44" s="841"/>
      <c r="P44" s="841"/>
      <c r="Q44" s="841"/>
      <c r="R44" s="841"/>
      <c r="S44" s="841"/>
      <c r="T44" s="841"/>
      <c r="U44" s="841"/>
    </row>
    <row r="45" spans="1:15" ht="12.75">
      <c r="A45" s="838" t="s">
        <v>436</v>
      </c>
      <c r="B45" s="838"/>
      <c r="C45" s="838"/>
      <c r="D45" s="838"/>
      <c r="E45" s="838"/>
      <c r="F45" s="838"/>
      <c r="G45" s="838"/>
      <c r="H45" s="838"/>
      <c r="I45" s="838"/>
      <c r="J45" s="838"/>
      <c r="K45" s="838"/>
      <c r="L45" s="838"/>
      <c r="M45" s="842"/>
      <c r="N45" s="842"/>
      <c r="O45" s="842"/>
    </row>
    <row r="46" spans="1:28" s="761" customFormat="1" ht="11.25">
      <c r="A46" s="761" t="s">
        <v>437</v>
      </c>
      <c r="W46" s="843"/>
      <c r="X46" s="843"/>
      <c r="Y46" s="843"/>
      <c r="Z46" s="843"/>
      <c r="AA46" s="843"/>
      <c r="AB46" s="843"/>
    </row>
    <row r="47" spans="1:28" s="761" customFormat="1" ht="26.25" customHeight="1">
      <c r="A47" s="955" t="s">
        <v>444</v>
      </c>
      <c r="B47" s="955"/>
      <c r="C47" s="955"/>
      <c r="D47" s="955"/>
      <c r="E47" s="955"/>
      <c r="F47" s="955"/>
      <c r="G47" s="955"/>
      <c r="H47" s="955"/>
      <c r="I47" s="955"/>
      <c r="J47" s="955"/>
      <c r="K47" s="955"/>
      <c r="L47" s="955"/>
      <c r="M47" s="955"/>
      <c r="N47" s="955"/>
      <c r="O47" s="955"/>
      <c r="P47" s="955"/>
      <c r="Q47" s="955"/>
      <c r="R47" s="955"/>
      <c r="S47" s="955"/>
      <c r="T47" s="955"/>
      <c r="U47" s="955"/>
      <c r="V47" s="955"/>
      <c r="W47" s="843"/>
      <c r="X47" s="843"/>
      <c r="Y47" s="843"/>
      <c r="Z47" s="843"/>
      <c r="AA47" s="843"/>
      <c r="AB47" s="843"/>
    </row>
    <row r="48" spans="1:28" s="761" customFormat="1" ht="11.25">
      <c r="A48" s="761" t="s">
        <v>438</v>
      </c>
      <c r="W48" s="843"/>
      <c r="X48" s="843"/>
      <c r="Y48" s="843"/>
      <c r="Z48" s="843"/>
      <c r="AA48" s="843"/>
      <c r="AB48" s="843"/>
    </row>
    <row r="49" spans="1:22" ht="30.75" customHeight="1">
      <c r="A49" s="951" t="s">
        <v>445</v>
      </c>
      <c r="B49" s="951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1"/>
      <c r="R49" s="951"/>
      <c r="S49" s="951"/>
      <c r="T49" s="951"/>
      <c r="U49" s="951"/>
      <c r="V49" s="951"/>
    </row>
    <row r="50" spans="10:13" ht="12.75">
      <c r="J50" s="844"/>
      <c r="M50" s="845"/>
    </row>
    <row r="51" spans="1:28" s="847" customFormat="1" ht="15">
      <c r="A51" s="846" t="s">
        <v>439</v>
      </c>
      <c r="J51" s="848"/>
      <c r="M51" s="849"/>
      <c r="O51" s="952" t="s">
        <v>440</v>
      </c>
      <c r="P51" s="952"/>
      <c r="Q51" s="952"/>
      <c r="S51" s="953" t="s">
        <v>148</v>
      </c>
      <c r="T51" s="953"/>
      <c r="U51" s="953"/>
      <c r="V51" s="953"/>
      <c r="W51" s="850"/>
      <c r="X51" s="850"/>
      <c r="Y51" s="850"/>
      <c r="Z51" s="850"/>
      <c r="AA51" s="850"/>
      <c r="AB51" s="850"/>
    </row>
    <row r="52" spans="10:13" ht="12.75">
      <c r="J52" s="844"/>
      <c r="M52" s="845"/>
    </row>
    <row r="53" spans="20:21" ht="12.75">
      <c r="T53" s="851"/>
      <c r="U53" s="851"/>
    </row>
    <row r="54" spans="1:22" ht="12.75">
      <c r="A54" s="851"/>
      <c r="T54" s="851"/>
      <c r="U54" s="851"/>
      <c r="V54" s="851"/>
    </row>
    <row r="55" spans="1:22" ht="12.75">
      <c r="A55" s="851"/>
      <c r="T55" s="851"/>
      <c r="U55" s="851"/>
      <c r="V55" s="851"/>
    </row>
    <row r="56" spans="20:22" ht="12.75">
      <c r="T56" s="851"/>
      <c r="U56" s="851"/>
      <c r="V56" s="851"/>
    </row>
    <row r="57" spans="1:21" ht="12.75">
      <c r="A57" s="851"/>
      <c r="T57" s="851"/>
      <c r="U57" s="851"/>
    </row>
    <row r="58" spans="20:21" ht="12.75">
      <c r="T58" s="851"/>
      <c r="U58" s="851"/>
    </row>
    <row r="59" spans="20:21" ht="12.75">
      <c r="T59" s="851"/>
      <c r="U59" s="851"/>
    </row>
    <row r="60" spans="20:21" ht="12.75">
      <c r="T60" s="851"/>
      <c r="U60" s="851"/>
    </row>
    <row r="61" spans="20:21" ht="12.75">
      <c r="T61" s="851"/>
      <c r="U61" s="851"/>
    </row>
    <row r="62" spans="20:21" ht="12.75">
      <c r="T62" s="851"/>
      <c r="U62" s="851"/>
    </row>
  </sheetData>
  <sheetProtection/>
  <mergeCells count="5">
    <mergeCell ref="A49:V49"/>
    <mergeCell ref="O51:Q51"/>
    <mergeCell ref="S51:V51"/>
    <mergeCell ref="A3:V3"/>
    <mergeCell ref="A47:V47"/>
  </mergeCells>
  <printOptions horizontalCentered="1"/>
  <pageMargins left="0.7874015748031497" right="0.7874015748031497" top="0.984251968503937" bottom="0.984251968503937" header="0.5118110236220472" footer="0.3937007874015748"/>
  <pageSetup fitToHeight="1" fitToWidth="1" horizontalDpi="600" verticalDpi="600" orientation="landscape" paperSize="9" scale="59" r:id="rId1"/>
  <headerFooter alignWithMargins="0">
    <oddFooter>&amp;C&amp;13&amp;P+142
&amp;12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AE41"/>
  <sheetViews>
    <sheetView zoomScale="75" zoomScaleNormal="75" workbookViewId="0" topLeftCell="A2">
      <selection activeCell="J18" sqref="J18"/>
    </sheetView>
  </sheetViews>
  <sheetFormatPr defaultColWidth="9.00390625" defaultRowHeight="12.75"/>
  <cols>
    <col min="1" max="1" width="1.875" style="3" customWidth="1"/>
    <col min="2" max="2" width="4.75390625" style="1" customWidth="1"/>
    <col min="3" max="3" width="2.00390625" style="3" customWidth="1"/>
    <col min="4" max="4" width="10.00390625" style="3" customWidth="1"/>
    <col min="5" max="5" width="8.125" style="3" customWidth="1"/>
    <col min="6" max="6" width="10.625" style="3" customWidth="1"/>
    <col min="7" max="7" width="8.75390625" style="3" customWidth="1"/>
    <col min="8" max="8" width="3.75390625" style="3" customWidth="1"/>
    <col min="9" max="9" width="13.125" style="3" customWidth="1"/>
    <col min="10" max="10" width="14.25390625" style="3" customWidth="1"/>
    <col min="11" max="11" width="3.75390625" style="3" customWidth="1"/>
    <col min="12" max="12" width="2.25390625" style="3" hidden="1" customWidth="1"/>
    <col min="13" max="14" width="20.00390625" style="3" customWidth="1"/>
    <col min="15" max="15" width="2.125" style="3" customWidth="1"/>
    <col min="16" max="16" width="13.25390625" style="0" customWidth="1"/>
    <col min="17" max="17" width="13.875" style="3" customWidth="1"/>
    <col min="18" max="18" width="2.625" style="2" customWidth="1"/>
    <col min="19" max="19" width="12.75390625" style="3" customWidth="1"/>
    <col min="20" max="20" width="13.125" style="3" customWidth="1"/>
    <col min="21" max="21" width="2.875" style="3" customWidth="1"/>
    <col min="22" max="22" width="5.625" style="3" customWidth="1"/>
    <col min="23" max="23" width="8.25390625" style="3" customWidth="1"/>
    <col min="24" max="24" width="11.125" style="3" customWidth="1"/>
    <col min="25" max="25" width="12.25390625" style="3" customWidth="1"/>
    <col min="26" max="26" width="2.75390625" style="3" customWidth="1"/>
    <col min="27" max="27" width="8.25390625" style="62" customWidth="1"/>
    <col min="28" max="28" width="7.375" style="62" customWidth="1"/>
    <col min="29" max="29" width="8.375" style="62" customWidth="1"/>
    <col min="30" max="30" width="12.125" style="62" customWidth="1"/>
    <col min="31" max="31" width="4.00390625" style="3" customWidth="1"/>
    <col min="32" max="16384" width="9.125" style="3" customWidth="1"/>
  </cols>
  <sheetData>
    <row r="1" spans="2:31" s="47" customFormat="1" ht="52.5" customHeight="1">
      <c r="B1" s="977" t="s">
        <v>90</v>
      </c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48"/>
    </row>
    <row r="2" spans="2:30" s="49" customFormat="1" ht="9.75" customHeight="1" thickBot="1">
      <c r="B2" s="50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2"/>
      <c r="R2" s="54"/>
      <c r="S2" s="52"/>
      <c r="T2" s="52"/>
      <c r="U2" s="52"/>
      <c r="V2" s="52"/>
      <c r="W2" s="52"/>
      <c r="X2" s="52"/>
      <c r="Y2" s="52"/>
      <c r="Z2" s="52"/>
      <c r="AA2" s="54"/>
      <c r="AB2" s="54"/>
      <c r="AC2" s="54"/>
      <c r="AD2" s="55"/>
    </row>
    <row r="3" spans="2:30" s="56" customFormat="1" ht="28.5" customHeight="1" hidden="1">
      <c r="B3" s="50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3"/>
      <c r="Q3" s="58"/>
      <c r="R3" s="54"/>
      <c r="S3" s="58"/>
      <c r="T3" s="58"/>
      <c r="U3" s="58"/>
      <c r="V3" s="58"/>
      <c r="W3" s="58"/>
      <c r="X3" s="58"/>
      <c r="Y3" s="58"/>
      <c r="Z3" s="58"/>
      <c r="AA3" s="54"/>
      <c r="AB3" s="54"/>
      <c r="AC3" s="54"/>
      <c r="AD3" s="55"/>
    </row>
    <row r="4" spans="8:27" ht="29.25" customHeight="1" thickBot="1">
      <c r="H4"/>
      <c r="I4"/>
      <c r="J4"/>
      <c r="K4"/>
      <c r="L4"/>
      <c r="M4"/>
      <c r="N4"/>
      <c r="O4" s="59" t="s">
        <v>11</v>
      </c>
      <c r="P4" s="60"/>
      <c r="Q4" s="60"/>
      <c r="R4" s="60"/>
      <c r="S4" s="60"/>
      <c r="T4" s="60"/>
      <c r="U4" s="61"/>
      <c r="X4"/>
      <c r="Y4"/>
      <c r="Z4"/>
      <c r="AA4" s="46"/>
    </row>
    <row r="5" spans="5:28" ht="9.75" customHeight="1" thickBot="1"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0"/>
      <c r="R5" s="5"/>
      <c r="S5" s="91"/>
      <c r="T5" s="6"/>
      <c r="U5" s="6"/>
      <c r="V5" s="6"/>
      <c r="W5" s="6"/>
      <c r="X5" s="5"/>
      <c r="Y5" s="6"/>
      <c r="Z5" s="5"/>
      <c r="AA5" s="63"/>
      <c r="AB5" s="64"/>
    </row>
    <row r="6" spans="2:28" ht="17.25" customHeight="1" thickBot="1">
      <c r="B6" s="7"/>
      <c r="C6" s="8"/>
      <c r="D6" s="9"/>
      <c r="E6" s="10"/>
      <c r="F6" s="11"/>
      <c r="G6" s="11"/>
      <c r="H6" s="11"/>
      <c r="I6" s="92"/>
      <c r="J6" s="11"/>
      <c r="K6" s="11"/>
      <c r="L6" s="11"/>
      <c r="M6" s="12"/>
      <c r="N6" s="11"/>
      <c r="O6" s="11"/>
      <c r="P6" s="12"/>
      <c r="Q6" s="11"/>
      <c r="R6" s="8"/>
      <c r="S6" s="12"/>
      <c r="T6" s="11"/>
      <c r="U6" s="13"/>
      <c r="V6" s="13"/>
      <c r="W6" s="14"/>
      <c r="X6" s="13"/>
      <c r="Y6"/>
      <c r="Z6"/>
      <c r="AA6" s="46"/>
      <c r="AB6" s="65"/>
    </row>
    <row r="7" spans="2:30" s="18" customFormat="1" ht="26.25" customHeight="1">
      <c r="B7" s="7"/>
      <c r="C7" s="8"/>
      <c r="D7" s="978" t="s">
        <v>46</v>
      </c>
      <c r="E7" s="979"/>
      <c r="F7" s="979"/>
      <c r="G7" s="980"/>
      <c r="H7" s="15" t="s">
        <v>47</v>
      </c>
      <c r="I7" s="992" t="s">
        <v>0</v>
      </c>
      <c r="J7" s="993"/>
      <c r="K7" s="16"/>
      <c r="L7" s="16"/>
      <c r="M7" s="981" t="s">
        <v>12</v>
      </c>
      <c r="N7" s="982"/>
      <c r="O7" s="16"/>
      <c r="P7" s="981" t="s">
        <v>48</v>
      </c>
      <c r="Q7" s="983"/>
      <c r="R7" s="8"/>
      <c r="S7" s="984" t="s">
        <v>48</v>
      </c>
      <c r="T7" s="985"/>
      <c r="U7"/>
      <c r="V7" s="986" t="s">
        <v>49</v>
      </c>
      <c r="W7" s="987"/>
      <c r="X7" s="987"/>
      <c r="Y7" s="988"/>
      <c r="Z7" s="43"/>
      <c r="AA7" s="989" t="s">
        <v>50</v>
      </c>
      <c r="AB7" s="990"/>
      <c r="AC7" s="990"/>
      <c r="AD7" s="991"/>
    </row>
    <row r="8" spans="2:30" ht="21" customHeight="1" thickBot="1">
      <c r="B8" s="7"/>
      <c r="C8" s="19"/>
      <c r="D8" s="971" t="s">
        <v>51</v>
      </c>
      <c r="E8" s="972"/>
      <c r="F8" s="972"/>
      <c r="G8" s="973"/>
      <c r="H8" s="20"/>
      <c r="I8" s="994"/>
      <c r="J8" s="995"/>
      <c r="K8" s="16"/>
      <c r="L8" s="16"/>
      <c r="M8" s="974" t="s">
        <v>13</v>
      </c>
      <c r="N8" s="975"/>
      <c r="O8" s="16"/>
      <c r="P8" s="974" t="s">
        <v>1</v>
      </c>
      <c r="Q8" s="976"/>
      <c r="R8" s="8"/>
      <c r="S8" s="962" t="s">
        <v>52</v>
      </c>
      <c r="T8" s="963"/>
      <c r="U8"/>
      <c r="V8" s="996" t="s">
        <v>53</v>
      </c>
      <c r="W8" s="997"/>
      <c r="X8" s="997"/>
      <c r="Y8" s="998"/>
      <c r="Z8" s="43"/>
      <c r="AA8" s="999" t="s">
        <v>54</v>
      </c>
      <c r="AB8" s="1000"/>
      <c r="AC8" s="1000"/>
      <c r="AD8" s="1001"/>
    </row>
    <row r="9" spans="2:31" ht="14.25" customHeight="1" thickBot="1">
      <c r="B9" s="21"/>
      <c r="C9" s="22"/>
      <c r="D9" s="23"/>
      <c r="E9" s="24"/>
      <c r="F9" s="23"/>
      <c r="G9" s="23"/>
      <c r="H9" s="964" t="s">
        <v>55</v>
      </c>
      <c r="I9" s="114"/>
      <c r="J9" s="115"/>
      <c r="K9" s="25"/>
      <c r="L9" s="25"/>
      <c r="M9" s="26"/>
      <c r="N9" s="27"/>
      <c r="O9" s="25"/>
      <c r="P9" s="26"/>
      <c r="Q9" s="27"/>
      <c r="R9" s="8"/>
      <c r="S9" s="28"/>
      <c r="T9" s="8"/>
      <c r="U9"/>
      <c r="V9" s="43"/>
      <c r="W9" s="93"/>
      <c r="X9" s="43"/>
      <c r="Y9" s="43"/>
      <c r="Z9" s="43"/>
      <c r="AA9" s="89"/>
      <c r="AB9" s="94"/>
      <c r="AC9" s="89"/>
      <c r="AD9" s="89"/>
      <c r="AE9"/>
    </row>
    <row r="10" spans="2:31" ht="35.25" customHeight="1" thickBot="1">
      <c r="B10" s="21" t="s">
        <v>56</v>
      </c>
      <c r="C10" s="29"/>
      <c r="D10" s="966" t="s">
        <v>85</v>
      </c>
      <c r="E10" s="967"/>
      <c r="F10" s="967"/>
      <c r="G10" s="968"/>
      <c r="H10" s="965"/>
      <c r="I10" s="9"/>
      <c r="J10" s="9"/>
      <c r="K10" s="16"/>
      <c r="L10" s="16"/>
      <c r="M10" s="958" t="s">
        <v>14</v>
      </c>
      <c r="N10" s="959"/>
      <c r="O10" s="16"/>
      <c r="P10" s="969" t="s">
        <v>69</v>
      </c>
      <c r="Q10" s="970"/>
      <c r="R10" s="8"/>
      <c r="S10" s="66" t="s">
        <v>57</v>
      </c>
      <c r="T10" s="67"/>
      <c r="U10" s="46"/>
      <c r="V10" s="1012" t="s">
        <v>84</v>
      </c>
      <c r="W10" s="1013"/>
      <c r="X10" s="1013"/>
      <c r="Y10" s="1014"/>
      <c r="Z10" s="89"/>
      <c r="AA10" s="89"/>
      <c r="AB10" s="94"/>
      <c r="AC10" s="89"/>
      <c r="AD10" s="89"/>
      <c r="AE10"/>
    </row>
    <row r="11" spans="2:31" ht="18.75" customHeight="1" thickBot="1">
      <c r="B11" s="21"/>
      <c r="C11" s="29"/>
      <c r="D11" s="116"/>
      <c r="E11" s="117"/>
      <c r="F11" s="118"/>
      <c r="G11" s="119"/>
      <c r="H11" s="30"/>
      <c r="I11" s="9"/>
      <c r="J11" s="9"/>
      <c r="K11" s="16"/>
      <c r="L11" s="16"/>
      <c r="M11" s="26"/>
      <c r="N11" s="27"/>
      <c r="O11" s="16"/>
      <c r="P11" s="26"/>
      <c r="Q11" s="27"/>
      <c r="R11" s="8"/>
      <c r="S11" s="28"/>
      <c r="T11" s="68"/>
      <c r="U11" s="46"/>
      <c r="V11" s="89"/>
      <c r="W11" s="89"/>
      <c r="X11" s="95"/>
      <c r="Y11" s="89"/>
      <c r="Z11" s="89"/>
      <c r="AA11" s="89"/>
      <c r="AB11" s="94"/>
      <c r="AC11" s="89"/>
      <c r="AD11" s="89"/>
      <c r="AE11" s="17"/>
    </row>
    <row r="12" spans="2:31" ht="48.75" customHeight="1" thickBot="1">
      <c r="B12" s="21" t="s">
        <v>58</v>
      </c>
      <c r="C12" s="29"/>
      <c r="D12" s="69"/>
      <c r="E12" s="120"/>
      <c r="F12" s="70"/>
      <c r="G12" s="70"/>
      <c r="H12" s="30"/>
      <c r="I12" s="9"/>
      <c r="J12" s="9"/>
      <c r="K12" s="8"/>
      <c r="L12" s="8"/>
      <c r="M12" s="958" t="s">
        <v>15</v>
      </c>
      <c r="N12" s="959"/>
      <c r="O12" s="8"/>
      <c r="P12" s="956" t="s">
        <v>59</v>
      </c>
      <c r="Q12" s="957"/>
      <c r="R12" s="8"/>
      <c r="S12" s="66" t="s">
        <v>60</v>
      </c>
      <c r="T12" s="67"/>
      <c r="U12" s="46"/>
      <c r="V12" s="1012" t="s">
        <v>82</v>
      </c>
      <c r="W12" s="1013"/>
      <c r="X12" s="1013"/>
      <c r="Y12" s="1014"/>
      <c r="Z12" s="89" t="s">
        <v>452</v>
      </c>
      <c r="AA12" s="89"/>
      <c r="AB12" s="94"/>
      <c r="AC12" s="89"/>
      <c r="AD12" s="89"/>
      <c r="AE12" s="17"/>
    </row>
    <row r="13" spans="2:31" ht="14.25" customHeight="1" thickBot="1">
      <c r="B13" s="21"/>
      <c r="C13" s="29"/>
      <c r="D13" s="31"/>
      <c r="E13" s="32"/>
      <c r="F13" s="31"/>
      <c r="G13" s="31"/>
      <c r="H13" s="30"/>
      <c r="I13" s="9"/>
      <c r="J13" s="9"/>
      <c r="K13" s="8"/>
      <c r="L13" s="8"/>
      <c r="M13" s="26"/>
      <c r="N13" s="27"/>
      <c r="O13" s="8"/>
      <c r="P13" s="26"/>
      <c r="Q13" s="27"/>
      <c r="R13" s="8"/>
      <c r="S13" s="28"/>
      <c r="T13" s="68"/>
      <c r="U13" s="46"/>
      <c r="V13" s="89"/>
      <c r="W13" s="89"/>
      <c r="X13" s="95"/>
      <c r="Y13" s="89"/>
      <c r="Z13" s="89"/>
      <c r="AA13" s="89"/>
      <c r="AB13" s="94"/>
      <c r="AC13" s="89"/>
      <c r="AD13" s="89"/>
      <c r="AE13" s="17"/>
    </row>
    <row r="14" spans="2:31" ht="43.5" customHeight="1" thickBot="1">
      <c r="B14" s="7" t="s">
        <v>40</v>
      </c>
      <c r="C14" s="29"/>
      <c r="D14" s="966" t="s">
        <v>86</v>
      </c>
      <c r="E14" s="967"/>
      <c r="F14" s="967"/>
      <c r="G14" s="968"/>
      <c r="H14" s="30"/>
      <c r="I14" s="9"/>
      <c r="J14" s="9"/>
      <c r="K14" s="8"/>
      <c r="L14" s="8"/>
      <c r="M14" s="958" t="s">
        <v>2</v>
      </c>
      <c r="N14" s="959"/>
      <c r="O14" s="8"/>
      <c r="P14" s="956" t="s">
        <v>41</v>
      </c>
      <c r="Q14" s="957"/>
      <c r="R14" s="8"/>
      <c r="S14" s="66" t="s">
        <v>42</v>
      </c>
      <c r="T14" s="67"/>
      <c r="U14" s="46"/>
      <c r="V14" s="1012" t="s">
        <v>71</v>
      </c>
      <c r="W14" s="1013"/>
      <c r="X14" s="1013"/>
      <c r="Y14" s="1014"/>
      <c r="Z14" s="89"/>
      <c r="AA14" s="89"/>
      <c r="AB14" s="94"/>
      <c r="AC14" s="89"/>
      <c r="AD14" s="89"/>
      <c r="AE14" s="17"/>
    </row>
    <row r="15" spans="2:31" ht="15.75" customHeight="1" thickBot="1">
      <c r="B15" s="21"/>
      <c r="C15" s="29"/>
      <c r="D15" s="121"/>
      <c r="E15" s="122"/>
      <c r="F15" s="121"/>
      <c r="G15" s="121"/>
      <c r="H15" s="30"/>
      <c r="I15" s="9"/>
      <c r="J15" s="9"/>
      <c r="K15" s="16"/>
      <c r="L15" s="16"/>
      <c r="M15" s="26"/>
      <c r="N15" s="27"/>
      <c r="O15" s="16"/>
      <c r="P15" s="26"/>
      <c r="Q15" s="27"/>
      <c r="R15" s="8"/>
      <c r="S15" s="28"/>
      <c r="T15" s="68"/>
      <c r="U15" s="46"/>
      <c r="V15" s="89"/>
      <c r="W15" s="89"/>
      <c r="X15" s="95"/>
      <c r="Y15" s="89"/>
      <c r="Z15" s="89"/>
      <c r="AA15" s="89"/>
      <c r="AB15" s="94"/>
      <c r="AC15" s="89"/>
      <c r="AD15" s="89"/>
      <c r="AE15" s="17"/>
    </row>
    <row r="16" spans="2:31" ht="45.75" customHeight="1" thickBot="1">
      <c r="B16" s="21" t="s">
        <v>58</v>
      </c>
      <c r="C16" s="29"/>
      <c r="D16" s="123"/>
      <c r="E16" s="124"/>
      <c r="F16" s="125"/>
      <c r="G16" s="72"/>
      <c r="H16" s="30"/>
      <c r="I16" s="9"/>
      <c r="J16" s="9"/>
      <c r="K16" s="16"/>
      <c r="L16" s="16"/>
      <c r="M16" s="958" t="s">
        <v>16</v>
      </c>
      <c r="N16" s="959"/>
      <c r="O16" s="16"/>
      <c r="P16" s="956" t="s">
        <v>43</v>
      </c>
      <c r="Q16" s="957"/>
      <c r="R16" s="8"/>
      <c r="S16" s="66" t="s">
        <v>34</v>
      </c>
      <c r="T16" s="67"/>
      <c r="U16" s="46"/>
      <c r="V16" s="1021" t="s">
        <v>17</v>
      </c>
      <c r="W16" s="1022"/>
      <c r="X16" s="1022"/>
      <c r="Y16" s="1023"/>
      <c r="Z16" s="89" t="s">
        <v>452</v>
      </c>
      <c r="AA16" s="89"/>
      <c r="AB16" s="94"/>
      <c r="AC16" s="89"/>
      <c r="AD16" s="89"/>
      <c r="AE16" s="17"/>
    </row>
    <row r="17" spans="2:31" ht="21.75" customHeight="1" thickBot="1">
      <c r="B17" s="21"/>
      <c r="C17" s="29"/>
      <c r="D17" s="31"/>
      <c r="E17" s="32"/>
      <c r="F17" s="31"/>
      <c r="G17" s="31"/>
      <c r="H17" s="30"/>
      <c r="I17" s="9"/>
      <c r="J17" s="9"/>
      <c r="K17" s="16"/>
      <c r="L17" s="16"/>
      <c r="M17" s="26"/>
      <c r="N17" s="27"/>
      <c r="O17" s="16"/>
      <c r="P17" s="26"/>
      <c r="Q17" s="27"/>
      <c r="R17" s="8"/>
      <c r="S17" s="28"/>
      <c r="T17" s="68"/>
      <c r="U17" s="46"/>
      <c r="V17" s="89"/>
      <c r="W17" s="89"/>
      <c r="X17" s="95"/>
      <c r="Y17" s="89"/>
      <c r="Z17" s="89"/>
      <c r="AA17" s="89"/>
      <c r="AB17" s="94"/>
      <c r="AC17" s="89"/>
      <c r="AD17" s="89"/>
      <c r="AE17" s="17"/>
    </row>
    <row r="18" spans="2:31" ht="44.25" customHeight="1" thickBot="1">
      <c r="B18" s="21" t="s">
        <v>35</v>
      </c>
      <c r="C18" s="29"/>
      <c r="D18" s="966" t="s">
        <v>87</v>
      </c>
      <c r="E18" s="967"/>
      <c r="F18" s="967"/>
      <c r="G18" s="968"/>
      <c r="H18" s="33"/>
      <c r="I18" s="96"/>
      <c r="J18" s="96"/>
      <c r="K18" s="34"/>
      <c r="L18" s="34"/>
      <c r="M18" s="958" t="s">
        <v>3</v>
      </c>
      <c r="N18" s="959"/>
      <c r="O18" s="34"/>
      <c r="P18" s="956" t="s">
        <v>36</v>
      </c>
      <c r="Q18" s="957"/>
      <c r="R18" s="8"/>
      <c r="S18" s="66" t="s">
        <v>73</v>
      </c>
      <c r="T18" s="67"/>
      <c r="U18" s="46"/>
      <c r="V18" s="1012" t="s">
        <v>83</v>
      </c>
      <c r="W18" s="1013"/>
      <c r="X18" s="1013"/>
      <c r="Y18" s="1014"/>
      <c r="Z18" s="89" t="s">
        <v>452</v>
      </c>
      <c r="AA18" s="89"/>
      <c r="AB18" s="94"/>
      <c r="AC18" s="89"/>
      <c r="AD18" s="89"/>
      <c r="AE18" s="17"/>
    </row>
    <row r="19" spans="2:31" ht="15.75" customHeight="1" thickBot="1">
      <c r="B19" s="21"/>
      <c r="C19" s="29"/>
      <c r="D19" s="960"/>
      <c r="E19" s="960"/>
      <c r="F19" s="960"/>
      <c r="G19" s="960"/>
      <c r="H19" s="33"/>
      <c r="I19" s="97"/>
      <c r="J19" s="96"/>
      <c r="K19" s="98"/>
      <c r="L19" s="8"/>
      <c r="M19" s="26"/>
      <c r="N19" s="27"/>
      <c r="O19" s="8"/>
      <c r="P19" s="26"/>
      <c r="Q19" s="27"/>
      <c r="R19" s="8"/>
      <c r="S19" s="28"/>
      <c r="T19" s="68"/>
      <c r="U19" s="46"/>
      <c r="V19" s="89"/>
      <c r="W19" s="89"/>
      <c r="X19" s="95"/>
      <c r="Y19" s="89"/>
      <c r="Z19" s="89"/>
      <c r="AA19" s="89"/>
      <c r="AB19" s="94"/>
      <c r="AC19" s="89"/>
      <c r="AD19" s="89"/>
      <c r="AE19" s="17"/>
    </row>
    <row r="20" spans="2:31" ht="44.25" customHeight="1" thickBot="1">
      <c r="B20" s="21" t="s">
        <v>74</v>
      </c>
      <c r="C20" s="29"/>
      <c r="D20" s="961"/>
      <c r="E20" s="961"/>
      <c r="F20" s="961"/>
      <c r="G20" s="961"/>
      <c r="H20" s="33"/>
      <c r="I20" s="97"/>
      <c r="J20" s="96"/>
      <c r="K20" s="98"/>
      <c r="L20" s="8"/>
      <c r="M20" s="958" t="s">
        <v>18</v>
      </c>
      <c r="N20" s="959"/>
      <c r="O20" s="8"/>
      <c r="P20" s="956" t="s">
        <v>75</v>
      </c>
      <c r="Q20" s="957"/>
      <c r="R20" s="8"/>
      <c r="S20" s="66" t="s">
        <v>76</v>
      </c>
      <c r="T20" s="67"/>
      <c r="U20" s="46"/>
      <c r="V20" s="1012" t="s">
        <v>72</v>
      </c>
      <c r="W20" s="1013"/>
      <c r="X20" s="1013"/>
      <c r="Y20" s="1014"/>
      <c r="Z20" s="89"/>
      <c r="AA20" s="89"/>
      <c r="AB20" s="94"/>
      <c r="AC20" s="89"/>
      <c r="AD20" s="89"/>
      <c r="AE20" s="17"/>
    </row>
    <row r="21" spans="2:31" ht="18.75" customHeight="1" thickBot="1">
      <c r="B21" s="21"/>
      <c r="C21" s="29"/>
      <c r="D21" s="126"/>
      <c r="E21" s="125"/>
      <c r="F21" s="125"/>
      <c r="G21" s="72"/>
      <c r="H21" s="33"/>
      <c r="I21" s="97"/>
      <c r="J21" s="96"/>
      <c r="K21" s="98"/>
      <c r="L21" s="8"/>
      <c r="M21" s="26"/>
      <c r="N21" s="27"/>
      <c r="O21" s="8"/>
      <c r="P21" s="26"/>
      <c r="Q21" s="27"/>
      <c r="R21" s="8"/>
      <c r="S21" s="28"/>
      <c r="T21" s="68"/>
      <c r="U21" s="46"/>
      <c r="V21" s="89"/>
      <c r="W21" s="89"/>
      <c r="X21" s="95"/>
      <c r="Y21" s="89"/>
      <c r="Z21" s="89"/>
      <c r="AA21" s="89"/>
      <c r="AB21" s="94"/>
      <c r="AC21" s="89"/>
      <c r="AD21" s="89"/>
      <c r="AE21" s="17"/>
    </row>
    <row r="22" spans="2:31" ht="44.25" customHeight="1" thickBot="1">
      <c r="B22" s="21"/>
      <c r="C22" s="29"/>
      <c r="D22" s="71"/>
      <c r="E22" s="72"/>
      <c r="F22" s="72"/>
      <c r="G22" s="72"/>
      <c r="H22" s="33"/>
      <c r="I22" s="97"/>
      <c r="J22" s="96"/>
      <c r="K22" s="98"/>
      <c r="L22" s="8"/>
      <c r="M22" s="958" t="s">
        <v>4</v>
      </c>
      <c r="N22" s="959"/>
      <c r="O22" s="8"/>
      <c r="P22" s="956" t="s">
        <v>77</v>
      </c>
      <c r="Q22" s="957"/>
      <c r="R22" s="8"/>
      <c r="S22" s="66" t="s">
        <v>78</v>
      </c>
      <c r="T22" s="67"/>
      <c r="U22" s="46"/>
      <c r="V22" s="1018" t="s">
        <v>70</v>
      </c>
      <c r="W22" s="1019"/>
      <c r="X22" s="1019"/>
      <c r="Y22" s="1020"/>
      <c r="Z22" s="89"/>
      <c r="AA22" s="1015" t="s">
        <v>20</v>
      </c>
      <c r="AB22" s="1016"/>
      <c r="AC22" s="1016"/>
      <c r="AD22" s="1017"/>
      <c r="AE22" s="859" t="s">
        <v>79</v>
      </c>
    </row>
    <row r="23" spans="2:31" ht="13.5" customHeight="1" thickBot="1">
      <c r="B23" s="21"/>
      <c r="C23" s="29"/>
      <c r="D23" s="73"/>
      <c r="E23" s="74"/>
      <c r="F23" s="75"/>
      <c r="G23" s="75"/>
      <c r="H23" s="33"/>
      <c r="I23" s="97"/>
      <c r="J23" s="96"/>
      <c r="K23" s="99"/>
      <c r="L23" s="8"/>
      <c r="M23" s="26"/>
      <c r="N23" s="27"/>
      <c r="O23" s="8"/>
      <c r="P23" s="26"/>
      <c r="Q23" s="27"/>
      <c r="R23" s="8"/>
      <c r="S23" s="28"/>
      <c r="T23" s="68"/>
      <c r="U23" s="46"/>
      <c r="V23" s="89"/>
      <c r="W23" s="89"/>
      <c r="X23" s="100"/>
      <c r="Y23" s="89"/>
      <c r="Z23" s="89"/>
      <c r="AA23" s="89"/>
      <c r="AB23" s="89"/>
      <c r="AC23" s="101"/>
      <c r="AD23" s="89"/>
      <c r="AE23" s="62"/>
    </row>
    <row r="24" spans="2:31" ht="48" customHeight="1" thickBot="1">
      <c r="B24" s="21" t="s">
        <v>56</v>
      </c>
      <c r="C24" s="29"/>
      <c r="D24" s="73"/>
      <c r="E24" s="74"/>
      <c r="F24" s="75"/>
      <c r="G24" s="75"/>
      <c r="H24" s="33"/>
      <c r="I24" s="97"/>
      <c r="J24" s="96"/>
      <c r="K24" s="102"/>
      <c r="L24" s="8"/>
      <c r="M24" s="958" t="s">
        <v>5</v>
      </c>
      <c r="N24" s="959"/>
      <c r="O24" s="8"/>
      <c r="P24" s="956" t="s">
        <v>80</v>
      </c>
      <c r="Q24" s="957"/>
      <c r="R24" s="8"/>
      <c r="S24" s="1010" t="s">
        <v>81</v>
      </c>
      <c r="T24" s="1011"/>
      <c r="U24" s="46"/>
      <c r="V24" s="1002" t="s">
        <v>21</v>
      </c>
      <c r="W24" s="1003"/>
      <c r="X24" s="1003"/>
      <c r="Y24" s="1004"/>
      <c r="Z24" s="89"/>
      <c r="AA24" s="1015" t="s">
        <v>24</v>
      </c>
      <c r="AB24" s="1026"/>
      <c r="AC24" s="1026"/>
      <c r="AD24" s="1027"/>
      <c r="AE24" s="859" t="s">
        <v>22</v>
      </c>
    </row>
    <row r="25" spans="2:31" ht="11.25" customHeight="1" thickBot="1">
      <c r="B25" s="21"/>
      <c r="C25" s="29"/>
      <c r="D25" s="73"/>
      <c r="E25" s="74"/>
      <c r="F25" s="75"/>
      <c r="G25" s="75"/>
      <c r="H25" s="33"/>
      <c r="I25" s="97"/>
      <c r="J25" s="96"/>
      <c r="K25" s="99"/>
      <c r="L25" s="8"/>
      <c r="M25" s="103"/>
      <c r="N25" s="8"/>
      <c r="O25" s="8"/>
      <c r="P25" s="8"/>
      <c r="Q25" s="8"/>
      <c r="R25" s="8"/>
      <c r="S25" s="28"/>
      <c r="T25" s="68"/>
      <c r="U25" s="46"/>
      <c r="V25" s="89"/>
      <c r="W25" s="89"/>
      <c r="X25" s="104"/>
      <c r="Y25" s="89"/>
      <c r="Z25" s="89"/>
      <c r="AA25" s="105"/>
      <c r="AB25" s="106"/>
      <c r="AC25" s="107"/>
      <c r="AD25" s="107"/>
      <c r="AE25" s="859"/>
    </row>
    <row r="26" spans="2:31" ht="42" customHeight="1" thickBot="1">
      <c r="B26" s="21" t="s">
        <v>37</v>
      </c>
      <c r="C26" s="29"/>
      <c r="D26" s="73"/>
      <c r="E26" s="74"/>
      <c r="F26" s="75"/>
      <c r="G26" s="75"/>
      <c r="H26" s="33"/>
      <c r="I26" s="97"/>
      <c r="J26" s="96"/>
      <c r="K26" s="99"/>
      <c r="L26" s="8"/>
      <c r="M26" s="958" t="s">
        <v>6</v>
      </c>
      <c r="N26" s="959"/>
      <c r="O26" s="8"/>
      <c r="P26" s="8"/>
      <c r="Q26" s="8"/>
      <c r="R26" s="8"/>
      <c r="S26" s="66" t="s">
        <v>38</v>
      </c>
      <c r="T26" s="67"/>
      <c r="U26" s="46"/>
      <c r="V26" s="1005" t="s">
        <v>23</v>
      </c>
      <c r="W26" s="1006"/>
      <c r="X26" s="1006"/>
      <c r="Y26" s="1007"/>
      <c r="Z26" s="89"/>
      <c r="AA26" s="1015" t="s">
        <v>26</v>
      </c>
      <c r="AB26" s="1016"/>
      <c r="AC26" s="1016"/>
      <c r="AD26" s="1017"/>
      <c r="AE26" s="859" t="s">
        <v>22</v>
      </c>
    </row>
    <row r="27" spans="2:31" ht="14.25" customHeight="1" thickBot="1">
      <c r="B27" s="21"/>
      <c r="C27" s="29"/>
      <c r="D27" s="73"/>
      <c r="E27" s="74"/>
      <c r="F27" s="75"/>
      <c r="G27" s="75"/>
      <c r="H27" s="33"/>
      <c r="I27" s="97"/>
      <c r="J27" s="96"/>
      <c r="K27" s="99"/>
      <c r="L27" s="8"/>
      <c r="M27" s="103"/>
      <c r="N27" s="8"/>
      <c r="O27" s="8"/>
      <c r="P27" s="8"/>
      <c r="Q27" s="8"/>
      <c r="R27" s="8"/>
      <c r="S27" s="28"/>
      <c r="T27" s="68"/>
      <c r="U27" s="46"/>
      <c r="V27" s="89"/>
      <c r="W27" s="89"/>
      <c r="X27" s="104"/>
      <c r="Y27" s="89"/>
      <c r="Z27" s="89"/>
      <c r="AA27" s="105"/>
      <c r="AB27" s="106"/>
      <c r="AC27" s="107"/>
      <c r="AD27" s="107"/>
      <c r="AE27" s="859"/>
    </row>
    <row r="28" spans="2:31" ht="32.25" customHeight="1" thickBot="1">
      <c r="B28" s="21" t="s">
        <v>44</v>
      </c>
      <c r="C28" s="29"/>
      <c r="D28" s="73"/>
      <c r="E28" s="74"/>
      <c r="F28" s="75"/>
      <c r="G28" s="75"/>
      <c r="H28" s="33"/>
      <c r="I28" s="97"/>
      <c r="J28" s="96"/>
      <c r="K28" s="99"/>
      <c r="L28" s="8"/>
      <c r="M28" s="958" t="s">
        <v>7</v>
      </c>
      <c r="N28" s="959"/>
      <c r="O28" s="8"/>
      <c r="P28" s="8"/>
      <c r="Q28" s="8"/>
      <c r="R28" s="8"/>
      <c r="S28" s="66" t="s">
        <v>45</v>
      </c>
      <c r="T28" s="67"/>
      <c r="U28" s="46"/>
      <c r="V28" s="1002" t="s">
        <v>25</v>
      </c>
      <c r="W28" s="1003"/>
      <c r="X28" s="1003"/>
      <c r="Y28" s="1004"/>
      <c r="Z28" s="89"/>
      <c r="AA28" s="1015" t="s">
        <v>88</v>
      </c>
      <c r="AB28" s="1016"/>
      <c r="AC28" s="1016"/>
      <c r="AD28" s="1017"/>
      <c r="AE28" s="859" t="s">
        <v>79</v>
      </c>
    </row>
    <row r="29" spans="2:31" ht="12.75" customHeight="1" thickBot="1">
      <c r="B29" s="21"/>
      <c r="C29" s="29"/>
      <c r="D29" s="73"/>
      <c r="E29" s="74"/>
      <c r="F29" s="75"/>
      <c r="G29" s="75"/>
      <c r="H29" s="33"/>
      <c r="I29" s="97"/>
      <c r="J29" s="96"/>
      <c r="K29" s="99"/>
      <c r="L29" s="8"/>
      <c r="M29" s="103"/>
      <c r="N29" s="8"/>
      <c r="O29" s="8"/>
      <c r="P29" s="8"/>
      <c r="Q29" s="8"/>
      <c r="R29" s="8"/>
      <c r="S29" s="36"/>
      <c r="T29" s="68"/>
      <c r="U29" s="46"/>
      <c r="V29" s="89"/>
      <c r="W29" s="106"/>
      <c r="X29" s="89"/>
      <c r="Y29" s="89"/>
      <c r="Z29" s="89"/>
      <c r="AA29" s="108"/>
      <c r="AB29" s="109"/>
      <c r="AC29" s="89"/>
      <c r="AD29" s="89"/>
      <c r="AE29"/>
    </row>
    <row r="30" spans="2:31" ht="41.25" customHeight="1" thickBot="1">
      <c r="B30" s="21" t="s">
        <v>40</v>
      </c>
      <c r="C30" s="29"/>
      <c r="D30" s="73"/>
      <c r="E30" s="74"/>
      <c r="F30" s="75"/>
      <c r="G30" s="75"/>
      <c r="H30" s="33"/>
      <c r="I30" s="97"/>
      <c r="J30" s="96"/>
      <c r="K30" s="99"/>
      <c r="L30" s="8"/>
      <c r="M30" s="958" t="s">
        <v>19</v>
      </c>
      <c r="N30" s="959"/>
      <c r="O30" s="8"/>
      <c r="P30" s="8"/>
      <c r="Q30" s="8"/>
      <c r="R30" s="8"/>
      <c r="S30" s="66" t="s">
        <v>61</v>
      </c>
      <c r="T30" s="67"/>
      <c r="U30" s="46"/>
      <c r="V30" s="1005" t="s">
        <v>27</v>
      </c>
      <c r="W30" s="1006"/>
      <c r="X30" s="1006"/>
      <c r="Y30" s="1007"/>
      <c r="Z30" s="89"/>
      <c r="AA30" s="1024"/>
      <c r="AB30" s="1025"/>
      <c r="AC30" s="1025"/>
      <c r="AD30" s="1025"/>
      <c r="AE30" s="35"/>
    </row>
    <row r="31" spans="2:30" ht="15" customHeight="1" thickBot="1">
      <c r="B31" s="21"/>
      <c r="C31" s="29"/>
      <c r="D31" s="73"/>
      <c r="E31" s="74"/>
      <c r="F31" s="75"/>
      <c r="G31" s="75"/>
      <c r="H31" s="33"/>
      <c r="I31" s="97"/>
      <c r="J31" s="96"/>
      <c r="K31" s="99"/>
      <c r="L31" s="8"/>
      <c r="M31" s="103"/>
      <c r="N31" s="8"/>
      <c r="O31" s="8"/>
      <c r="P31" s="8"/>
      <c r="Q31" s="8"/>
      <c r="R31" s="8"/>
      <c r="S31" s="36"/>
      <c r="T31" s="68"/>
      <c r="U31" s="46"/>
      <c r="V31" s="107"/>
      <c r="W31" s="106"/>
      <c r="X31" s="107"/>
      <c r="Y31" s="107"/>
      <c r="Z31" s="89"/>
      <c r="AA31" s="89"/>
      <c r="AB31" s="89"/>
      <c r="AC31" s="89"/>
      <c r="AD31" s="89"/>
    </row>
    <row r="32" spans="2:31" ht="30.75" customHeight="1" thickBot="1">
      <c r="B32" s="21" t="s">
        <v>62</v>
      </c>
      <c r="C32" s="29"/>
      <c r="D32" s="73"/>
      <c r="E32" s="74"/>
      <c r="F32" s="75"/>
      <c r="G32" s="75"/>
      <c r="H32" s="33"/>
      <c r="I32" s="97"/>
      <c r="J32" s="96"/>
      <c r="K32" s="99"/>
      <c r="L32" s="8"/>
      <c r="M32" s="958" t="s">
        <v>8</v>
      </c>
      <c r="N32" s="959"/>
      <c r="O32" s="8"/>
      <c r="P32" s="8"/>
      <c r="Q32" s="8"/>
      <c r="R32" s="8"/>
      <c r="S32" s="66" t="s">
        <v>63</v>
      </c>
      <c r="T32" s="67"/>
      <c r="U32" s="62"/>
      <c r="V32" s="1002" t="s">
        <v>28</v>
      </c>
      <c r="W32" s="1008"/>
      <c r="X32" s="1008"/>
      <c r="Y32" s="1009"/>
      <c r="Z32" s="89"/>
      <c r="AA32" s="89"/>
      <c r="AB32" s="89"/>
      <c r="AC32" s="89"/>
      <c r="AD32" s="89"/>
      <c r="AE32"/>
    </row>
    <row r="33" spans="2:31" ht="13.5" customHeight="1" thickBot="1">
      <c r="B33" s="21"/>
      <c r="C33" s="29"/>
      <c r="D33" s="73"/>
      <c r="E33" s="74"/>
      <c r="F33" s="75"/>
      <c r="G33" s="75"/>
      <c r="H33" s="33"/>
      <c r="I33" s="97"/>
      <c r="J33" s="96"/>
      <c r="K33" s="99"/>
      <c r="L33" s="8"/>
      <c r="M33" s="103"/>
      <c r="N33" s="8"/>
      <c r="O33" s="8"/>
      <c r="P33" s="8"/>
      <c r="Q33" s="8"/>
      <c r="R33" s="8"/>
      <c r="S33" s="36"/>
      <c r="T33" s="68"/>
      <c r="U33" s="62"/>
      <c r="V33" s="62"/>
      <c r="W33" s="76"/>
      <c r="X33" s="62"/>
      <c r="Y33" s="62"/>
      <c r="Z33" s="62"/>
      <c r="AA33" s="46"/>
      <c r="AB33" s="46"/>
      <c r="AC33" s="46"/>
      <c r="AD33" s="46"/>
      <c r="AE33"/>
    </row>
    <row r="34" spans="2:31" ht="42" customHeight="1" thickBot="1">
      <c r="B34" s="21" t="s">
        <v>64</v>
      </c>
      <c r="C34" s="29"/>
      <c r="D34" s="73"/>
      <c r="E34" s="74"/>
      <c r="F34" s="75"/>
      <c r="G34" s="75"/>
      <c r="H34" s="33"/>
      <c r="I34" s="97"/>
      <c r="J34" s="96"/>
      <c r="K34" s="99"/>
      <c r="L34" s="8"/>
      <c r="M34" s="958" t="s">
        <v>9</v>
      </c>
      <c r="N34" s="959"/>
      <c r="O34" s="8"/>
      <c r="P34" s="8"/>
      <c r="Q34" s="8"/>
      <c r="R34" s="8"/>
      <c r="S34" s="66" t="s">
        <v>65</v>
      </c>
      <c r="T34" s="67"/>
      <c r="U34" s="46"/>
      <c r="V34" s="77"/>
      <c r="W34" s="78"/>
      <c r="X34" s="77"/>
      <c r="Y34" s="77"/>
      <c r="Z34" s="62"/>
      <c r="AA34" s="46"/>
      <c r="AB34" s="46"/>
      <c r="AC34" s="46"/>
      <c r="AD34" s="46"/>
      <c r="AE34"/>
    </row>
    <row r="35" spans="2:31" ht="12" customHeight="1" thickBot="1">
      <c r="B35" s="21"/>
      <c r="C35" s="29"/>
      <c r="D35" s="73"/>
      <c r="E35" s="74"/>
      <c r="F35" s="75"/>
      <c r="G35" s="75"/>
      <c r="H35" s="33"/>
      <c r="I35" s="97"/>
      <c r="J35" s="96"/>
      <c r="K35" s="99"/>
      <c r="L35" s="8"/>
      <c r="M35" s="103"/>
      <c r="N35" s="8"/>
      <c r="O35" s="8"/>
      <c r="P35" s="8"/>
      <c r="Q35" s="8"/>
      <c r="R35" s="8"/>
      <c r="S35" s="36"/>
      <c r="T35" s="68"/>
      <c r="U35" s="46"/>
      <c r="V35" s="46"/>
      <c r="W35" s="62"/>
      <c r="X35" s="62"/>
      <c r="Y35" s="62"/>
      <c r="Z35" s="62"/>
      <c r="AA35" s="46"/>
      <c r="AB35" s="46"/>
      <c r="AC35" s="46"/>
      <c r="AD35" s="46"/>
      <c r="AE35"/>
    </row>
    <row r="36" spans="2:31" ht="46.5" customHeight="1" thickBot="1">
      <c r="B36" s="21"/>
      <c r="C36" s="29"/>
      <c r="D36" s="73"/>
      <c r="E36" s="74"/>
      <c r="F36" s="75"/>
      <c r="G36" s="75"/>
      <c r="H36" s="33"/>
      <c r="I36" s="97"/>
      <c r="J36" s="96"/>
      <c r="K36" s="99"/>
      <c r="L36" s="8"/>
      <c r="M36" s="958" t="s">
        <v>10</v>
      </c>
      <c r="N36" s="959"/>
      <c r="O36" s="8"/>
      <c r="P36" s="8"/>
      <c r="Q36" s="8"/>
      <c r="R36" s="8"/>
      <c r="S36" s="66" t="s">
        <v>66</v>
      </c>
      <c r="T36" s="67"/>
      <c r="U36" s="46"/>
      <c r="V36" s="46"/>
      <c r="W36" s="62"/>
      <c r="X36" s="62"/>
      <c r="Y36" s="62"/>
      <c r="Z36" s="62"/>
      <c r="AA36" s="46"/>
      <c r="AB36" s="46"/>
      <c r="AC36" s="46"/>
      <c r="AD36" s="46"/>
      <c r="AE36"/>
    </row>
    <row r="37" spans="2:31" ht="12" customHeight="1" thickBot="1">
      <c r="B37" s="21"/>
      <c r="C37" s="29"/>
      <c r="D37" s="73"/>
      <c r="E37" s="74"/>
      <c r="F37" s="75"/>
      <c r="G37" s="75"/>
      <c r="H37" s="33"/>
      <c r="I37" s="97"/>
      <c r="J37" s="96"/>
      <c r="K37" s="99"/>
      <c r="L37" s="8"/>
      <c r="M37" s="8"/>
      <c r="N37" s="8"/>
      <c r="O37" s="8"/>
      <c r="P37" s="8"/>
      <c r="Q37" s="8"/>
      <c r="R37" s="8"/>
      <c r="S37" s="110"/>
      <c r="T37" s="68"/>
      <c r="U37" s="46"/>
      <c r="V37" s="46"/>
      <c r="W37" s="62"/>
      <c r="X37" s="62"/>
      <c r="Y37" s="62"/>
      <c r="Z37" s="62"/>
      <c r="AA37" s="46"/>
      <c r="AB37" s="46"/>
      <c r="AC37" s="46"/>
      <c r="AD37" s="46"/>
      <c r="AE37"/>
    </row>
    <row r="38" spans="2:31" ht="29.25" customHeight="1" thickBot="1">
      <c r="B38" s="21"/>
      <c r="C38" s="79"/>
      <c r="D38" s="80"/>
      <c r="E38" s="81"/>
      <c r="F38" s="82"/>
      <c r="G38" s="82"/>
      <c r="H38" s="83"/>
      <c r="I38" s="97"/>
      <c r="J38" s="96"/>
      <c r="K38" s="99"/>
      <c r="L38" s="8"/>
      <c r="M38" s="8"/>
      <c r="N38" s="8"/>
      <c r="O38" s="8"/>
      <c r="P38" s="8"/>
      <c r="Q38" s="8"/>
      <c r="R38" s="8"/>
      <c r="S38" s="66" t="s">
        <v>29</v>
      </c>
      <c r="T38" s="67"/>
      <c r="U38" s="46"/>
      <c r="V38" s="46"/>
      <c r="W38" s="62"/>
      <c r="X38" s="46"/>
      <c r="Y38" s="46"/>
      <c r="Z38" s="46"/>
      <c r="AA38" s="46"/>
      <c r="AB38" s="46"/>
      <c r="AC38" s="46"/>
      <c r="AD38" s="46"/>
      <c r="AE38"/>
    </row>
    <row r="39" spans="3:31" ht="27" customHeight="1">
      <c r="C39" s="38" t="s">
        <v>67</v>
      </c>
      <c r="D39"/>
      <c r="F39" s="39" t="s">
        <v>68</v>
      </c>
      <c r="G39" s="37"/>
      <c r="H39" s="37"/>
      <c r="I39" s="37"/>
      <c r="J39" s="37"/>
      <c r="L39" s="84" t="s">
        <v>30</v>
      </c>
      <c r="N39" s="85"/>
      <c r="O39" s="85"/>
      <c r="Q39" s="45"/>
      <c r="R39" s="45"/>
      <c r="S39" s="86"/>
      <c r="T39" s="37"/>
      <c r="U39" s="37"/>
      <c r="V39" s="85" t="s">
        <v>31</v>
      </c>
      <c r="W39" s="37"/>
      <c r="X39" s="87"/>
      <c r="Y39" s="53"/>
      <c r="Z39" s="53"/>
      <c r="AA39" s="53"/>
      <c r="AB39" s="53"/>
      <c r="AC39" s="53"/>
      <c r="AD39" s="53"/>
      <c r="AE39"/>
    </row>
    <row r="40" spans="2:31" ht="23.25" customHeight="1">
      <c r="B40" s="40"/>
      <c r="D40"/>
      <c r="F40" s="39" t="s">
        <v>39</v>
      </c>
      <c r="G40" s="37"/>
      <c r="H40" s="37"/>
      <c r="I40" s="37"/>
      <c r="J40" s="37"/>
      <c r="L40" s="39" t="s">
        <v>32</v>
      </c>
      <c r="N40" s="39"/>
      <c r="O40" s="39"/>
      <c r="Q40" s="39"/>
      <c r="R40" s="41"/>
      <c r="S40" s="37"/>
      <c r="T40" s="37"/>
      <c r="U40" s="37"/>
      <c r="V40" s="39" t="s">
        <v>33</v>
      </c>
      <c r="W40" s="37"/>
      <c r="X40" s="53"/>
      <c r="Y40" s="53"/>
      <c r="Z40" s="53"/>
      <c r="AA40" s="53"/>
      <c r="AB40" s="53"/>
      <c r="AC40" s="53"/>
      <c r="AD40" s="53"/>
      <c r="AE40"/>
    </row>
    <row r="41" ht="23.25" customHeight="1">
      <c r="V41" s="39" t="s">
        <v>453</v>
      </c>
    </row>
  </sheetData>
  <mergeCells count="59">
    <mergeCell ref="AA30:AD30"/>
    <mergeCell ref="AA24:AD24"/>
    <mergeCell ref="V14:Y14"/>
    <mergeCell ref="AA28:AD28"/>
    <mergeCell ref="V26:Y26"/>
    <mergeCell ref="V24:Y24"/>
    <mergeCell ref="AA26:AD26"/>
    <mergeCell ref="D14:G14"/>
    <mergeCell ref="D18:G18"/>
    <mergeCell ref="M26:N26"/>
    <mergeCell ref="M24:N24"/>
    <mergeCell ref="M14:N14"/>
    <mergeCell ref="M16:N16"/>
    <mergeCell ref="P24:Q24"/>
    <mergeCell ref="S24:T24"/>
    <mergeCell ref="V10:Y10"/>
    <mergeCell ref="AA22:AD22"/>
    <mergeCell ref="V22:Y22"/>
    <mergeCell ref="V20:Y20"/>
    <mergeCell ref="V16:Y16"/>
    <mergeCell ref="V18:Y18"/>
    <mergeCell ref="V12:Y12"/>
    <mergeCell ref="P14:Q14"/>
    <mergeCell ref="M34:N34"/>
    <mergeCell ref="M36:N36"/>
    <mergeCell ref="V28:Y28"/>
    <mergeCell ref="V30:Y30"/>
    <mergeCell ref="V32:Y32"/>
    <mergeCell ref="M28:N28"/>
    <mergeCell ref="M30:N30"/>
    <mergeCell ref="M32:N32"/>
    <mergeCell ref="B1:AD1"/>
    <mergeCell ref="D7:G7"/>
    <mergeCell ref="M7:N7"/>
    <mergeCell ref="P7:Q7"/>
    <mergeCell ref="S7:T7"/>
    <mergeCell ref="V7:Y7"/>
    <mergeCell ref="AA7:AD7"/>
    <mergeCell ref="I7:J8"/>
    <mergeCell ref="V8:Y8"/>
    <mergeCell ref="AA8:AD8"/>
    <mergeCell ref="D10:G10"/>
    <mergeCell ref="M10:N10"/>
    <mergeCell ref="P10:Q10"/>
    <mergeCell ref="D8:G8"/>
    <mergeCell ref="M8:N8"/>
    <mergeCell ref="P8:Q8"/>
    <mergeCell ref="S8:T8"/>
    <mergeCell ref="H9:H10"/>
    <mergeCell ref="M12:N12"/>
    <mergeCell ref="P12:Q12"/>
    <mergeCell ref="P16:Q16"/>
    <mergeCell ref="M22:N22"/>
    <mergeCell ref="P22:Q22"/>
    <mergeCell ref="D19:G20"/>
    <mergeCell ref="M18:N18"/>
    <mergeCell ref="P18:Q18"/>
    <mergeCell ref="M20:N20"/>
    <mergeCell ref="P20:Q20"/>
  </mergeCells>
  <printOptions horizontalCentered="1"/>
  <pageMargins left="0.984251968503937" right="0.7874015748031497" top="0.984251968503937" bottom="0.1968503937007874" header="0.31496062992125984" footer="0.11811023622047245"/>
  <pageSetup horizontalDpi="300" verticalDpi="300" orientation="landscape" paperSize="9" scale="48" r:id="rId1"/>
  <headerFooter alignWithMargins="0">
    <oddFooter>&amp;C&amp;16
&amp;P+143
&amp;14
&amp;16
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75" zoomScaleNormal="75" workbookViewId="0" topLeftCell="A7">
      <selection activeCell="C13" sqref="C13"/>
    </sheetView>
  </sheetViews>
  <sheetFormatPr defaultColWidth="9.00390625" defaultRowHeight="12.75"/>
  <cols>
    <col min="1" max="1" width="47.25390625" style="281" customWidth="1"/>
    <col min="2" max="2" width="18.875" style="281" customWidth="1"/>
    <col min="3" max="3" width="19.25390625" style="281" customWidth="1"/>
    <col min="4" max="5" width="19.375" style="281" bestFit="1" customWidth="1"/>
    <col min="6" max="6" width="13.875" style="281" customWidth="1"/>
    <col min="7" max="7" width="15.625" style="281" customWidth="1"/>
    <col min="8" max="8" width="17.00390625" style="281" customWidth="1"/>
    <col min="9" max="9" width="16.00390625" style="281" customWidth="1"/>
    <col min="10" max="10" width="15.75390625" style="281" customWidth="1"/>
    <col min="11" max="11" width="8.00390625" style="281" customWidth="1"/>
    <col min="12" max="12" width="10.75390625" style="281" customWidth="1"/>
    <col min="13" max="16384" width="8.875" style="281" customWidth="1"/>
  </cols>
  <sheetData>
    <row r="1" spans="2:4" ht="19.5" customHeight="1">
      <c r="B1" s="380"/>
      <c r="C1" s="380"/>
      <c r="D1" s="380"/>
    </row>
    <row r="2" spans="1:10" s="239" customFormat="1" ht="20.25" customHeight="1">
      <c r="A2" s="418" t="s">
        <v>283</v>
      </c>
      <c r="B2" s="240"/>
      <c r="I2" s="882" t="s">
        <v>331</v>
      </c>
      <c r="J2" s="882"/>
    </row>
    <row r="3" spans="2:10" ht="19.5" customHeight="1">
      <c r="B3" s="380"/>
      <c r="C3" s="380"/>
      <c r="D3" s="380"/>
      <c r="I3" s="243"/>
      <c r="J3" s="381"/>
    </row>
    <row r="4" spans="1:14" s="381" customFormat="1" ht="26.25">
      <c r="A4" s="883" t="s">
        <v>332</v>
      </c>
      <c r="B4" s="883"/>
      <c r="C4" s="883"/>
      <c r="D4" s="883"/>
      <c r="E4" s="883"/>
      <c r="F4" s="883"/>
      <c r="G4" s="883"/>
      <c r="H4" s="883"/>
      <c r="I4" s="883"/>
      <c r="J4" s="883"/>
      <c r="K4" s="382"/>
      <c r="L4" s="382"/>
      <c r="M4" s="382"/>
      <c r="N4" s="382"/>
    </row>
    <row r="5" spans="1:10" ht="18.75" customHeight="1" thickBot="1">
      <c r="A5" s="383" t="s">
        <v>333</v>
      </c>
      <c r="B5" s="384"/>
      <c r="C5" s="384"/>
      <c r="D5" s="384"/>
      <c r="J5" s="250" t="s">
        <v>91</v>
      </c>
    </row>
    <row r="6" spans="1:11" s="385" customFormat="1" ht="64.5" customHeight="1">
      <c r="A6" s="884" t="s">
        <v>287</v>
      </c>
      <c r="B6" s="880" t="s">
        <v>334</v>
      </c>
      <c r="C6" s="880" t="s">
        <v>381</v>
      </c>
      <c r="D6" s="880" t="s">
        <v>203</v>
      </c>
      <c r="E6" s="880" t="s">
        <v>335</v>
      </c>
      <c r="F6" s="880" t="s">
        <v>336</v>
      </c>
      <c r="G6" s="880" t="s">
        <v>337</v>
      </c>
      <c r="H6" s="880" t="s">
        <v>338</v>
      </c>
      <c r="I6" s="880" t="s">
        <v>339</v>
      </c>
      <c r="J6" s="880" t="s">
        <v>340</v>
      </c>
      <c r="K6" s="386"/>
    </row>
    <row r="7" spans="1:11" s="385" customFormat="1" ht="15.75" thickBot="1">
      <c r="A7" s="885"/>
      <c r="B7" s="881"/>
      <c r="C7" s="881"/>
      <c r="D7" s="881"/>
      <c r="E7" s="881"/>
      <c r="F7" s="881"/>
      <c r="G7" s="881"/>
      <c r="H7" s="881"/>
      <c r="I7" s="881"/>
      <c r="J7" s="881"/>
      <c r="K7" s="386"/>
    </row>
    <row r="8" spans="1:10" s="387" customFormat="1" ht="16.5" thickBot="1">
      <c r="A8" s="251"/>
      <c r="B8" s="252">
        <v>1</v>
      </c>
      <c r="C8" s="253">
        <v>2</v>
      </c>
      <c r="D8" s="252">
        <v>3</v>
      </c>
      <c r="E8" s="254" t="s">
        <v>341</v>
      </c>
      <c r="F8" s="254" t="s">
        <v>342</v>
      </c>
      <c r="G8" s="254" t="s">
        <v>343</v>
      </c>
      <c r="H8" s="254" t="s">
        <v>344</v>
      </c>
      <c r="I8" s="254" t="s">
        <v>302</v>
      </c>
      <c r="J8" s="254" t="s">
        <v>303</v>
      </c>
    </row>
    <row r="9" spans="1:10" s="388" customFormat="1" ht="24.75" customHeight="1">
      <c r="A9" s="389" t="s">
        <v>345</v>
      </c>
      <c r="B9" s="390">
        <f>SUM(B12:B15)</f>
        <v>4238748</v>
      </c>
      <c r="C9" s="390">
        <f>SUM(C12:C15)</f>
        <v>4200458</v>
      </c>
      <c r="D9" s="390">
        <f>SUM(D12:D15)</f>
        <v>3946818</v>
      </c>
      <c r="E9" s="390">
        <f>SUM(E12:E15)</f>
        <v>4174781</v>
      </c>
      <c r="F9" s="391">
        <f>D9/E9</f>
        <v>0.9453952195336713</v>
      </c>
      <c r="G9" s="392">
        <f>SUM(G12:G15)</f>
        <v>30910</v>
      </c>
      <c r="H9" s="392">
        <f>SUM(H12:H15)</f>
        <v>31530</v>
      </c>
      <c r="I9" s="393" t="s">
        <v>309</v>
      </c>
      <c r="J9" s="394" t="s">
        <v>309</v>
      </c>
    </row>
    <row r="10" spans="1:10" ht="18">
      <c r="A10" s="260" t="s">
        <v>346</v>
      </c>
      <c r="B10" s="256"/>
      <c r="C10" s="256"/>
      <c r="D10" s="256"/>
      <c r="E10" s="257"/>
      <c r="F10" s="258"/>
      <c r="G10" s="257"/>
      <c r="H10" s="259"/>
      <c r="I10" s="257"/>
      <c r="J10" s="256"/>
    </row>
    <row r="11" spans="1:10" ht="15">
      <c r="A11" s="255" t="s">
        <v>310</v>
      </c>
      <c r="B11" s="256"/>
      <c r="C11" s="256"/>
      <c r="D11" s="256"/>
      <c r="E11" s="257"/>
      <c r="F11" s="258"/>
      <c r="G11" s="257"/>
      <c r="H11" s="259"/>
      <c r="I11" s="257"/>
      <c r="J11" s="256"/>
    </row>
    <row r="12" spans="1:10" ht="25.5" customHeight="1">
      <c r="A12" s="260" t="s">
        <v>347</v>
      </c>
      <c r="B12" s="261">
        <v>3747666</v>
      </c>
      <c r="C12" s="261">
        <v>3783666</v>
      </c>
      <c r="D12" s="261">
        <v>3769386</v>
      </c>
      <c r="E12" s="262">
        <v>3614780</v>
      </c>
      <c r="F12" s="263">
        <f>D12/E12</f>
        <v>1.042770514388151</v>
      </c>
      <c r="G12" s="262">
        <v>29981</v>
      </c>
      <c r="H12" s="264">
        <v>28992</v>
      </c>
      <c r="I12" s="262">
        <f>(1000*D12/G12)/12</f>
        <v>10477.152196391047</v>
      </c>
      <c r="J12" s="262">
        <f>(1000*E12/H12)/12</f>
        <v>10390.165103016925</v>
      </c>
    </row>
    <row r="13" spans="1:10" ht="25.5" customHeight="1">
      <c r="A13" s="260" t="s">
        <v>348</v>
      </c>
      <c r="B13" s="261">
        <v>754</v>
      </c>
      <c r="C13" s="261">
        <v>4927</v>
      </c>
      <c r="D13" s="261">
        <v>4923</v>
      </c>
      <c r="E13" s="262">
        <v>4938</v>
      </c>
      <c r="F13" s="263">
        <f>D13/E13</f>
        <v>0.996962332928311</v>
      </c>
      <c r="G13" s="262">
        <f>18+7</f>
        <v>25</v>
      </c>
      <c r="H13" s="264">
        <f>18+2</f>
        <v>20</v>
      </c>
      <c r="I13" s="262">
        <f aca="true" t="shared" si="0" ref="I13:J15">1000*D13/G13</f>
        <v>196920</v>
      </c>
      <c r="J13" s="262">
        <f t="shared" si="0"/>
        <v>246900</v>
      </c>
    </row>
    <row r="14" spans="1:10" ht="25.5" customHeight="1">
      <c r="A14" s="260" t="s">
        <v>349</v>
      </c>
      <c r="B14" s="261">
        <v>490328</v>
      </c>
      <c r="C14" s="261">
        <v>411563</v>
      </c>
      <c r="D14" s="261">
        <v>172208</v>
      </c>
      <c r="E14" s="262">
        <v>554887</v>
      </c>
      <c r="F14" s="263">
        <f>D14/E14</f>
        <v>0.31034787262992286</v>
      </c>
      <c r="G14" s="262">
        <f>709+3+2+7+12+7+1+0+158</f>
        <v>899</v>
      </c>
      <c r="H14" s="264">
        <f>2033+6+2+4+4+3+1+7+450</f>
        <v>2510</v>
      </c>
      <c r="I14" s="262">
        <f t="shared" si="0"/>
        <v>191555.06117908788</v>
      </c>
      <c r="J14" s="262">
        <f t="shared" si="0"/>
        <v>221070.51792828686</v>
      </c>
    </row>
    <row r="15" spans="1:10" ht="25.5" customHeight="1" thickBot="1">
      <c r="A15" s="265" t="s">
        <v>350</v>
      </c>
      <c r="B15" s="266">
        <v>0</v>
      </c>
      <c r="C15" s="266">
        <v>302</v>
      </c>
      <c r="D15" s="266">
        <v>301</v>
      </c>
      <c r="E15" s="267">
        <v>176</v>
      </c>
      <c r="F15" s="263">
        <f>D15/E15</f>
        <v>1.7102272727272727</v>
      </c>
      <c r="G15" s="267">
        <f>3+2</f>
        <v>5</v>
      </c>
      <c r="H15" s="268">
        <f>7+1</f>
        <v>8</v>
      </c>
      <c r="I15" s="262">
        <f t="shared" si="0"/>
        <v>60200</v>
      </c>
      <c r="J15" s="262">
        <f t="shared" si="0"/>
        <v>22000</v>
      </c>
    </row>
    <row r="16" spans="1:10" s="388" customFormat="1" ht="36.75" customHeight="1">
      <c r="A16" s="395" t="s">
        <v>351</v>
      </c>
      <c r="B16" s="392">
        <f>SUM(B19:B22)</f>
        <v>121421</v>
      </c>
      <c r="C16" s="392">
        <f>SUM(C19:C22)</f>
        <v>153311</v>
      </c>
      <c r="D16" s="392">
        <f>SUM(D19:D22)</f>
        <v>142931</v>
      </c>
      <c r="E16" s="392">
        <f>SUM(E19:E22)</f>
        <v>146844</v>
      </c>
      <c r="F16" s="391">
        <f>D16/E16</f>
        <v>0.9733526735855738</v>
      </c>
      <c r="G16" s="393" t="s">
        <v>309</v>
      </c>
      <c r="H16" s="396" t="s">
        <v>309</v>
      </c>
      <c r="I16" s="393" t="s">
        <v>309</v>
      </c>
      <c r="J16" s="394" t="s">
        <v>309</v>
      </c>
    </row>
    <row r="17" spans="1:10" ht="18.75" thickBot="1">
      <c r="A17" s="397" t="s">
        <v>352</v>
      </c>
      <c r="B17" s="398"/>
      <c r="C17" s="398"/>
      <c r="D17" s="398"/>
      <c r="E17" s="398"/>
      <c r="F17" s="399"/>
      <c r="G17" s="400"/>
      <c r="H17" s="401"/>
      <c r="I17" s="398"/>
      <c r="J17" s="402"/>
    </row>
    <row r="18" spans="1:10" ht="24.75" customHeight="1">
      <c r="A18" s="255" t="s">
        <v>310</v>
      </c>
      <c r="B18" s="261"/>
      <c r="C18" s="261"/>
      <c r="D18" s="261"/>
      <c r="E18" s="269"/>
      <c r="F18" s="270"/>
      <c r="G18" s="261"/>
      <c r="H18" s="261"/>
      <c r="I18" s="271"/>
      <c r="J18" s="272"/>
    </row>
    <row r="19" spans="1:10" ht="25.5" customHeight="1">
      <c r="A19" s="260" t="s">
        <v>353</v>
      </c>
      <c r="B19" s="261">
        <v>75494</v>
      </c>
      <c r="C19" s="261">
        <v>91599</v>
      </c>
      <c r="D19" s="261">
        <v>83494</v>
      </c>
      <c r="E19" s="262">
        <v>89649</v>
      </c>
      <c r="F19" s="273">
        <f>D19/E19</f>
        <v>0.9313433501768006</v>
      </c>
      <c r="G19" s="272" t="s">
        <v>309</v>
      </c>
      <c r="H19" s="274" t="s">
        <v>309</v>
      </c>
      <c r="I19" s="271" t="s">
        <v>309</v>
      </c>
      <c r="J19" s="272" t="s">
        <v>309</v>
      </c>
    </row>
    <row r="20" spans="1:10" ht="25.5" customHeight="1">
      <c r="A20" s="260" t="s">
        <v>354</v>
      </c>
      <c r="B20" s="261">
        <v>45744</v>
      </c>
      <c r="C20" s="261">
        <v>61485</v>
      </c>
      <c r="D20" s="261">
        <v>59265</v>
      </c>
      <c r="E20" s="262">
        <v>57069</v>
      </c>
      <c r="F20" s="273">
        <f>D20/E20</f>
        <v>1.0384797350575619</v>
      </c>
      <c r="G20" s="272" t="s">
        <v>309</v>
      </c>
      <c r="H20" s="274" t="s">
        <v>309</v>
      </c>
      <c r="I20" s="271" t="s">
        <v>309</v>
      </c>
      <c r="J20" s="272" t="s">
        <v>309</v>
      </c>
    </row>
    <row r="21" spans="1:10" ht="25.5" customHeight="1">
      <c r="A21" s="260" t="s">
        <v>355</v>
      </c>
      <c r="B21" s="261">
        <v>165</v>
      </c>
      <c r="C21" s="261">
        <v>227</v>
      </c>
      <c r="D21" s="261">
        <v>172</v>
      </c>
      <c r="E21" s="262">
        <v>126</v>
      </c>
      <c r="F21" s="273">
        <f>D21/E21</f>
        <v>1.3650793650793651</v>
      </c>
      <c r="G21" s="272" t="s">
        <v>309</v>
      </c>
      <c r="H21" s="274" t="s">
        <v>309</v>
      </c>
      <c r="I21" s="271" t="s">
        <v>309</v>
      </c>
      <c r="J21" s="272" t="s">
        <v>309</v>
      </c>
    </row>
    <row r="22" spans="1:10" ht="25.5" customHeight="1" thickBot="1">
      <c r="A22" s="275" t="s">
        <v>356</v>
      </c>
      <c r="B22" s="266">
        <v>18</v>
      </c>
      <c r="C22" s="266">
        <v>0</v>
      </c>
      <c r="D22" s="266">
        <v>0</v>
      </c>
      <c r="E22" s="267">
        <v>0</v>
      </c>
      <c r="F22" s="276">
        <v>0</v>
      </c>
      <c r="G22" s="277" t="s">
        <v>309</v>
      </c>
      <c r="H22" s="278" t="s">
        <v>309</v>
      </c>
      <c r="I22" s="279" t="s">
        <v>309</v>
      </c>
      <c r="J22" s="277" t="s">
        <v>309</v>
      </c>
    </row>
    <row r="23" spans="1:10" s="384" customFormat="1" ht="31.5" customHeight="1" thickBot="1">
      <c r="A23" s="403" t="s">
        <v>155</v>
      </c>
      <c r="B23" s="404">
        <f>+B9+B16</f>
        <v>4360169</v>
      </c>
      <c r="C23" s="404">
        <f>+C9+C16</f>
        <v>4353769</v>
      </c>
      <c r="D23" s="404">
        <f>+D9+D16</f>
        <v>4089749</v>
      </c>
      <c r="E23" s="405">
        <f>+E9+E16</f>
        <v>4321625</v>
      </c>
      <c r="F23" s="406">
        <f>D23/E23</f>
        <v>0.9463451826569866</v>
      </c>
      <c r="G23" s="407" t="s">
        <v>309</v>
      </c>
      <c r="H23" s="407" t="s">
        <v>309</v>
      </c>
      <c r="I23" s="407" t="s">
        <v>309</v>
      </c>
      <c r="J23" s="407" t="s">
        <v>309</v>
      </c>
    </row>
    <row r="24" spans="1:8" ht="35.25" customHeight="1">
      <c r="A24" s="241"/>
      <c r="E24" s="280"/>
      <c r="F24" s="280"/>
      <c r="G24" s="280"/>
      <c r="H24" s="280"/>
    </row>
    <row r="25" spans="1:9" ht="18" customHeight="1">
      <c r="A25" s="408" t="s">
        <v>330</v>
      </c>
      <c r="B25" s="241"/>
      <c r="D25" s="241" t="s">
        <v>147</v>
      </c>
      <c r="I25" s="241" t="s">
        <v>148</v>
      </c>
    </row>
    <row r="26" spans="1:2" ht="18" customHeight="1">
      <c r="A26" s="408"/>
      <c r="B26" s="409"/>
    </row>
    <row r="27" spans="1:2" ht="18" customHeight="1">
      <c r="A27" s="408"/>
      <c r="B27" s="410"/>
    </row>
    <row r="28" spans="1:22" s="412" customFormat="1" ht="20.25">
      <c r="A28" s="411"/>
      <c r="C28" s="413"/>
      <c r="D28" s="413"/>
      <c r="E28" s="414"/>
      <c r="F28" s="414"/>
      <c r="G28" s="415"/>
      <c r="H28" s="415"/>
      <c r="I28" s="415"/>
      <c r="J28" s="416"/>
      <c r="K28" s="416"/>
      <c r="U28" s="417"/>
      <c r="V28" s="417"/>
    </row>
    <row r="29" ht="18" customHeight="1">
      <c r="A29" s="384"/>
    </row>
    <row r="30" ht="15">
      <c r="A30" s="280"/>
    </row>
    <row r="31" ht="15">
      <c r="A31" s="280"/>
    </row>
    <row r="32" ht="15">
      <c r="A32" s="280"/>
    </row>
  </sheetData>
  <mergeCells count="12">
    <mergeCell ref="G6:G7"/>
    <mergeCell ref="H6:H7"/>
    <mergeCell ref="I6:I7"/>
    <mergeCell ref="J6:J7"/>
    <mergeCell ref="I2:J2"/>
    <mergeCell ref="A4:J4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4921259845" footer="0.4921259845"/>
  <pageSetup blackAndWhite="1" fitToHeight="1" fitToWidth="1" horizontalDpi="600" verticalDpi="600" orientation="landscape" paperSize="9" scale="65" r:id="rId1"/>
  <headerFooter alignWithMargins="0">
    <oddFooter>&amp;C&amp;12&amp;P+57&amp;10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6"/>
  <sheetViews>
    <sheetView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"/>
    </sheetView>
  </sheetViews>
  <sheetFormatPr defaultColWidth="8.875" defaultRowHeight="12.75"/>
  <cols>
    <col min="1" max="1" width="2.75390625" style="129" customWidth="1"/>
    <col min="2" max="2" width="15.125" style="129" customWidth="1"/>
    <col min="3" max="3" width="39.75390625" style="127" customWidth="1"/>
    <col min="4" max="6" width="13.00390625" style="44" customWidth="1"/>
    <col min="7" max="7" width="13.875" style="44" customWidth="1"/>
    <col min="8" max="8" width="15.375" style="128" customWidth="1"/>
    <col min="9" max="12" width="13.875" style="44" customWidth="1"/>
    <col min="13" max="16384" width="8.875" style="129" customWidth="1"/>
  </cols>
  <sheetData>
    <row r="1" ht="15">
      <c r="B1" s="44"/>
    </row>
    <row r="2" spans="2:12" ht="20.25">
      <c r="B2" s="190" t="s">
        <v>198</v>
      </c>
      <c r="C2" s="190"/>
      <c r="D2" s="190"/>
      <c r="E2" s="190"/>
      <c r="F2" s="190"/>
      <c r="G2" s="190"/>
      <c r="H2" s="191"/>
      <c r="I2" s="190"/>
      <c r="J2" s="190"/>
      <c r="K2" s="190"/>
      <c r="L2" s="190"/>
    </row>
    <row r="3" spans="4:12" ht="26.25" customHeight="1" thickBot="1">
      <c r="D3" s="192"/>
      <c r="E3" s="192"/>
      <c r="L3" s="424" t="s">
        <v>91</v>
      </c>
    </row>
    <row r="4" spans="2:12" ht="85.5" customHeight="1" thickBot="1">
      <c r="B4" s="193" t="s">
        <v>199</v>
      </c>
      <c r="C4" s="194" t="s">
        <v>200</v>
      </c>
      <c r="D4" s="195" t="s">
        <v>201</v>
      </c>
      <c r="E4" s="195" t="s">
        <v>381</v>
      </c>
      <c r="F4" s="195" t="s">
        <v>202</v>
      </c>
      <c r="G4" s="195" t="s">
        <v>203</v>
      </c>
      <c r="H4" s="195" t="s">
        <v>204</v>
      </c>
      <c r="I4" s="195" t="s">
        <v>205</v>
      </c>
      <c r="J4" s="195" t="s">
        <v>206</v>
      </c>
      <c r="K4" s="195" t="s">
        <v>207</v>
      </c>
      <c r="L4" s="195" t="s">
        <v>208</v>
      </c>
    </row>
    <row r="5" spans="2:12" ht="15">
      <c r="B5" s="196"/>
      <c r="C5" s="197"/>
      <c r="D5" s="198">
        <v>1</v>
      </c>
      <c r="E5" s="199">
        <v>2</v>
      </c>
      <c r="F5" s="198">
        <v>4</v>
      </c>
      <c r="G5" s="198">
        <v>5</v>
      </c>
      <c r="H5" s="198">
        <v>6</v>
      </c>
      <c r="I5" s="198">
        <v>7</v>
      </c>
      <c r="J5" s="200">
        <v>8</v>
      </c>
      <c r="K5" s="198">
        <v>9</v>
      </c>
      <c r="L5" s="198">
        <v>10</v>
      </c>
    </row>
    <row r="6" spans="2:12" ht="27.75" customHeight="1">
      <c r="B6" s="201" t="s">
        <v>209</v>
      </c>
      <c r="C6" s="197" t="s">
        <v>210</v>
      </c>
      <c r="D6" s="202">
        <v>12900</v>
      </c>
      <c r="E6" s="203">
        <v>45634</v>
      </c>
      <c r="F6" s="202">
        <v>50457</v>
      </c>
      <c r="G6" s="202">
        <v>41645</v>
      </c>
      <c r="H6" s="202">
        <f aca="true" t="shared" si="0" ref="H6:H21">F6-G6</f>
        <v>8812</v>
      </c>
      <c r="I6" s="202">
        <f aca="true" t="shared" si="1" ref="I6:I21">G6-E6</f>
        <v>-3989</v>
      </c>
      <c r="J6" s="202">
        <f aca="true" t="shared" si="2" ref="J6:J21">G6-F6</f>
        <v>-8812</v>
      </c>
      <c r="K6" s="202">
        <v>36255</v>
      </c>
      <c r="L6" s="204">
        <f>+G6/K6</f>
        <v>1.148669149082885</v>
      </c>
    </row>
    <row r="7" spans="2:12" ht="27.75" customHeight="1">
      <c r="B7" s="201" t="s">
        <v>211</v>
      </c>
      <c r="C7" s="197" t="s">
        <v>212</v>
      </c>
      <c r="D7" s="202">
        <v>14800</v>
      </c>
      <c r="E7" s="203">
        <v>23869</v>
      </c>
      <c r="F7" s="202">
        <v>26734</v>
      </c>
      <c r="G7" s="202">
        <v>16123</v>
      </c>
      <c r="H7" s="202">
        <f t="shared" si="0"/>
        <v>10611</v>
      </c>
      <c r="I7" s="202">
        <f t="shared" si="1"/>
        <v>-7746</v>
      </c>
      <c r="J7" s="202">
        <f t="shared" si="2"/>
        <v>-10611</v>
      </c>
      <c r="K7" s="202">
        <v>8731</v>
      </c>
      <c r="L7" s="204">
        <f>+G7/K7</f>
        <v>1.8466384148436605</v>
      </c>
    </row>
    <row r="8" spans="2:12" ht="27.75" customHeight="1">
      <c r="B8" s="201" t="s">
        <v>213</v>
      </c>
      <c r="C8" s="197" t="s">
        <v>214</v>
      </c>
      <c r="D8" s="202">
        <v>3370</v>
      </c>
      <c r="E8" s="203">
        <v>20710</v>
      </c>
      <c r="F8" s="202">
        <v>22027</v>
      </c>
      <c r="G8" s="202">
        <v>17069</v>
      </c>
      <c r="H8" s="202">
        <f t="shared" si="0"/>
        <v>4958</v>
      </c>
      <c r="I8" s="202">
        <f t="shared" si="1"/>
        <v>-3641</v>
      </c>
      <c r="J8" s="202">
        <f t="shared" si="2"/>
        <v>-4958</v>
      </c>
      <c r="K8" s="202">
        <v>3875</v>
      </c>
      <c r="L8" s="204">
        <f>+G8/K8</f>
        <v>4.404903225806452</v>
      </c>
    </row>
    <row r="9" spans="2:12" ht="15">
      <c r="B9" s="201" t="s">
        <v>215</v>
      </c>
      <c r="C9" s="197" t="s">
        <v>216</v>
      </c>
      <c r="D9" s="202">
        <v>25000</v>
      </c>
      <c r="E9" s="203">
        <v>13476</v>
      </c>
      <c r="F9" s="202">
        <v>22487</v>
      </c>
      <c r="G9" s="202">
        <v>21423</v>
      </c>
      <c r="H9" s="202">
        <f t="shared" si="0"/>
        <v>1064</v>
      </c>
      <c r="I9" s="202">
        <f t="shared" si="1"/>
        <v>7947</v>
      </c>
      <c r="J9" s="202">
        <f t="shared" si="2"/>
        <v>-1064</v>
      </c>
      <c r="K9" s="202">
        <v>18314</v>
      </c>
      <c r="L9" s="204">
        <f>+G9/K9</f>
        <v>1.169760838702632</v>
      </c>
    </row>
    <row r="10" spans="2:12" ht="38.25">
      <c r="B10" s="201" t="s">
        <v>217</v>
      </c>
      <c r="C10" s="197" t="s">
        <v>218</v>
      </c>
      <c r="D10" s="202">
        <v>0</v>
      </c>
      <c r="E10" s="203">
        <v>0</v>
      </c>
      <c r="F10" s="202">
        <v>182</v>
      </c>
      <c r="G10" s="202">
        <v>182</v>
      </c>
      <c r="H10" s="202">
        <f t="shared" si="0"/>
        <v>0</v>
      </c>
      <c r="I10" s="202">
        <f t="shared" si="1"/>
        <v>182</v>
      </c>
      <c r="J10" s="202">
        <f t="shared" si="2"/>
        <v>0</v>
      </c>
      <c r="K10" s="202">
        <v>0</v>
      </c>
      <c r="L10" s="204" t="s">
        <v>219</v>
      </c>
    </row>
    <row r="11" spans="2:12" ht="27.75" customHeight="1">
      <c r="B11" s="201" t="s">
        <v>220</v>
      </c>
      <c r="C11" s="197" t="s">
        <v>221</v>
      </c>
      <c r="D11" s="202">
        <v>342357</v>
      </c>
      <c r="E11" s="203">
        <v>866361</v>
      </c>
      <c r="F11" s="202">
        <v>4327547</v>
      </c>
      <c r="G11" s="202">
        <v>1192241</v>
      </c>
      <c r="H11" s="202">
        <f t="shared" si="0"/>
        <v>3135306</v>
      </c>
      <c r="I11" s="202">
        <f t="shared" si="1"/>
        <v>325880</v>
      </c>
      <c r="J11" s="202">
        <f t="shared" si="2"/>
        <v>-3135306</v>
      </c>
      <c r="K11" s="202">
        <v>909230</v>
      </c>
      <c r="L11" s="204">
        <f>+G11/K11</f>
        <v>1.31126447653509</v>
      </c>
    </row>
    <row r="12" spans="2:12" ht="27.75" customHeight="1">
      <c r="B12" s="201" t="s">
        <v>222</v>
      </c>
      <c r="C12" s="205" t="s">
        <v>223</v>
      </c>
      <c r="D12" s="202">
        <v>583100</v>
      </c>
      <c r="E12" s="203">
        <v>640209</v>
      </c>
      <c r="F12" s="202">
        <v>1031061</v>
      </c>
      <c r="G12" s="202">
        <v>531099</v>
      </c>
      <c r="H12" s="202">
        <f t="shared" si="0"/>
        <v>499962</v>
      </c>
      <c r="I12" s="202">
        <f t="shared" si="1"/>
        <v>-109110</v>
      </c>
      <c r="J12" s="202">
        <f t="shared" si="2"/>
        <v>-499962</v>
      </c>
      <c r="K12" s="202">
        <v>316061</v>
      </c>
      <c r="L12" s="204">
        <f>+G12/K12</f>
        <v>1.6803686630112542</v>
      </c>
    </row>
    <row r="13" spans="2:12" ht="15">
      <c r="B13" s="201" t="s">
        <v>224</v>
      </c>
      <c r="C13" s="205" t="s">
        <v>225</v>
      </c>
      <c r="D13" s="202">
        <v>65874</v>
      </c>
      <c r="E13" s="203">
        <v>62388</v>
      </c>
      <c r="F13" s="202">
        <v>115340</v>
      </c>
      <c r="G13" s="202">
        <v>84004</v>
      </c>
      <c r="H13" s="202">
        <f t="shared" si="0"/>
        <v>31336</v>
      </c>
      <c r="I13" s="202">
        <f t="shared" si="1"/>
        <v>21616</v>
      </c>
      <c r="J13" s="202">
        <f t="shared" si="2"/>
        <v>-31336</v>
      </c>
      <c r="K13" s="202">
        <v>325483</v>
      </c>
      <c r="L13" s="204">
        <f>+G13/K13</f>
        <v>0.25809028428520076</v>
      </c>
    </row>
    <row r="14" spans="2:12" ht="27.75" customHeight="1">
      <c r="B14" s="201">
        <v>114230</v>
      </c>
      <c r="C14" s="197" t="s">
        <v>226</v>
      </c>
      <c r="D14" s="202">
        <v>0</v>
      </c>
      <c r="E14" s="203">
        <v>0</v>
      </c>
      <c r="F14" s="202">
        <v>0</v>
      </c>
      <c r="G14" s="202">
        <v>0</v>
      </c>
      <c r="H14" s="202">
        <f t="shared" si="0"/>
        <v>0</v>
      </c>
      <c r="I14" s="202">
        <f t="shared" si="1"/>
        <v>0</v>
      </c>
      <c r="J14" s="202">
        <f t="shared" si="2"/>
        <v>0</v>
      </c>
      <c r="K14" s="202">
        <v>56028</v>
      </c>
      <c r="L14" s="204">
        <f>+G14/K14</f>
        <v>0</v>
      </c>
    </row>
    <row r="15" spans="2:12" ht="15">
      <c r="B15" s="201" t="s">
        <v>227</v>
      </c>
      <c r="C15" s="197" t="s">
        <v>228</v>
      </c>
      <c r="D15" s="202">
        <v>104533</v>
      </c>
      <c r="E15" s="203">
        <v>160713</v>
      </c>
      <c r="F15" s="202">
        <v>256511</v>
      </c>
      <c r="G15" s="202">
        <v>220632</v>
      </c>
      <c r="H15" s="202">
        <f t="shared" si="0"/>
        <v>35879</v>
      </c>
      <c r="I15" s="202">
        <f t="shared" si="1"/>
        <v>59919</v>
      </c>
      <c r="J15" s="202">
        <f t="shared" si="2"/>
        <v>-35879</v>
      </c>
      <c r="K15" s="202">
        <v>0</v>
      </c>
      <c r="L15" s="204" t="s">
        <v>219</v>
      </c>
    </row>
    <row r="16" spans="2:12" ht="15">
      <c r="B16" s="201">
        <v>114410</v>
      </c>
      <c r="C16" s="197" t="s">
        <v>229</v>
      </c>
      <c r="D16" s="202">
        <v>0</v>
      </c>
      <c r="E16" s="203">
        <v>1800</v>
      </c>
      <c r="F16" s="202">
        <v>486275</v>
      </c>
      <c r="G16" s="202">
        <v>8410</v>
      </c>
      <c r="H16" s="202">
        <f t="shared" si="0"/>
        <v>477865</v>
      </c>
      <c r="I16" s="202">
        <f t="shared" si="1"/>
        <v>6610</v>
      </c>
      <c r="J16" s="202">
        <f t="shared" si="2"/>
        <v>-477865</v>
      </c>
      <c r="K16" s="202">
        <v>140486</v>
      </c>
      <c r="L16" s="204">
        <f aca="true" t="shared" si="3" ref="L16:L22">+G16/K16</f>
        <v>0.0598636163034039</v>
      </c>
    </row>
    <row r="17" spans="2:12" ht="27.75" customHeight="1">
      <c r="B17" s="201">
        <v>214020</v>
      </c>
      <c r="C17" s="205" t="s">
        <v>210</v>
      </c>
      <c r="D17" s="206"/>
      <c r="E17" s="207">
        <v>0</v>
      </c>
      <c r="F17" s="206">
        <v>4674</v>
      </c>
      <c r="G17" s="206">
        <v>4619</v>
      </c>
      <c r="H17" s="202">
        <f t="shared" si="0"/>
        <v>55</v>
      </c>
      <c r="I17" s="206">
        <f t="shared" si="1"/>
        <v>4619</v>
      </c>
      <c r="J17" s="206">
        <f t="shared" si="2"/>
        <v>-55</v>
      </c>
      <c r="K17" s="206">
        <v>14608</v>
      </c>
      <c r="L17" s="204">
        <f t="shared" si="3"/>
        <v>0.31619660460021903</v>
      </c>
    </row>
    <row r="18" spans="2:12" ht="27.75" customHeight="1">
      <c r="B18" s="201">
        <v>214030</v>
      </c>
      <c r="C18" s="205" t="s">
        <v>212</v>
      </c>
      <c r="D18" s="206">
        <v>12000</v>
      </c>
      <c r="E18" s="207">
        <v>13591</v>
      </c>
      <c r="F18" s="206">
        <v>22335</v>
      </c>
      <c r="G18" s="206">
        <v>7239</v>
      </c>
      <c r="H18" s="202">
        <f t="shared" si="0"/>
        <v>15096</v>
      </c>
      <c r="I18" s="206">
        <f t="shared" si="1"/>
        <v>-6352</v>
      </c>
      <c r="J18" s="206">
        <f t="shared" si="2"/>
        <v>-15096</v>
      </c>
      <c r="K18" s="206">
        <v>26038</v>
      </c>
      <c r="L18" s="208">
        <f t="shared" si="3"/>
        <v>0.27801674475766186</v>
      </c>
    </row>
    <row r="19" spans="2:12" ht="27.75" customHeight="1">
      <c r="B19" s="201">
        <v>214110</v>
      </c>
      <c r="C19" s="205" t="s">
        <v>223</v>
      </c>
      <c r="D19" s="206">
        <v>184311</v>
      </c>
      <c r="E19" s="207">
        <v>157398</v>
      </c>
      <c r="F19" s="206">
        <v>830428</v>
      </c>
      <c r="G19" s="206">
        <v>296669</v>
      </c>
      <c r="H19" s="202">
        <f t="shared" si="0"/>
        <v>533759</v>
      </c>
      <c r="I19" s="206">
        <f t="shared" si="1"/>
        <v>139271</v>
      </c>
      <c r="J19" s="206">
        <f t="shared" si="2"/>
        <v>-533759</v>
      </c>
      <c r="K19" s="206">
        <v>545169</v>
      </c>
      <c r="L19" s="208">
        <f t="shared" si="3"/>
        <v>0.544178043872634</v>
      </c>
    </row>
    <row r="20" spans="2:12" ht="27.75" customHeight="1">
      <c r="B20" s="201">
        <v>214210</v>
      </c>
      <c r="C20" s="205" t="s">
        <v>230</v>
      </c>
      <c r="D20" s="206">
        <v>0</v>
      </c>
      <c r="E20" s="207">
        <v>0</v>
      </c>
      <c r="F20" s="206">
        <v>0</v>
      </c>
      <c r="G20" s="206">
        <v>0</v>
      </c>
      <c r="H20" s="202">
        <f t="shared" si="0"/>
        <v>0</v>
      </c>
      <c r="I20" s="206">
        <f t="shared" si="1"/>
        <v>0</v>
      </c>
      <c r="J20" s="206">
        <f t="shared" si="2"/>
        <v>0</v>
      </c>
      <c r="K20" s="206">
        <v>8500</v>
      </c>
      <c r="L20" s="208">
        <f t="shared" si="3"/>
        <v>0</v>
      </c>
    </row>
    <row r="21" spans="2:12" ht="27.75" customHeight="1" thickBot="1">
      <c r="B21" s="201" t="s">
        <v>231</v>
      </c>
      <c r="C21" s="205" t="s">
        <v>232</v>
      </c>
      <c r="D21" s="206">
        <v>159</v>
      </c>
      <c r="E21" s="207">
        <v>57950</v>
      </c>
      <c r="F21" s="206">
        <v>75041</v>
      </c>
      <c r="G21" s="206">
        <v>74918</v>
      </c>
      <c r="H21" s="202">
        <f t="shared" si="0"/>
        <v>123</v>
      </c>
      <c r="I21" s="206">
        <f t="shared" si="1"/>
        <v>16968</v>
      </c>
      <c r="J21" s="206">
        <f t="shared" si="2"/>
        <v>-123</v>
      </c>
      <c r="K21" s="206">
        <v>25160</v>
      </c>
      <c r="L21" s="208">
        <f t="shared" si="3"/>
        <v>2.9776629570747217</v>
      </c>
    </row>
    <row r="22" spans="2:12" s="192" customFormat="1" ht="23.25" customHeight="1" thickBot="1">
      <c r="B22" s="425"/>
      <c r="C22" s="209" t="s">
        <v>155</v>
      </c>
      <c r="D22" s="426">
        <f aca="true" t="shared" si="4" ref="D22:K22">SUM(D6:D21)</f>
        <v>1348404</v>
      </c>
      <c r="E22" s="426">
        <f t="shared" si="4"/>
        <v>2064099</v>
      </c>
      <c r="F22" s="426">
        <f t="shared" si="4"/>
        <v>7271099</v>
      </c>
      <c r="G22" s="426">
        <f t="shared" si="4"/>
        <v>2516273</v>
      </c>
      <c r="H22" s="426">
        <f t="shared" si="4"/>
        <v>4754826</v>
      </c>
      <c r="I22" s="426">
        <f t="shared" si="4"/>
        <v>452174</v>
      </c>
      <c r="J22" s="426">
        <f t="shared" si="4"/>
        <v>-4754826</v>
      </c>
      <c r="K22" s="426">
        <f t="shared" si="4"/>
        <v>2433938</v>
      </c>
      <c r="L22" s="427">
        <f t="shared" si="3"/>
        <v>1.0338278953695617</v>
      </c>
    </row>
    <row r="23" ht="17.25" customHeight="1">
      <c r="C23" s="210"/>
    </row>
    <row r="24" spans="2:11" s="44" customFormat="1" ht="15">
      <c r="B24" s="44" t="s">
        <v>233</v>
      </c>
      <c r="C24" s="189"/>
      <c r="F24" s="44" t="s">
        <v>234</v>
      </c>
      <c r="K24" s="44" t="s">
        <v>148</v>
      </c>
    </row>
    <row r="25" spans="3:8" s="44" customFormat="1" ht="15">
      <c r="C25" s="189"/>
      <c r="H25" s="128"/>
    </row>
    <row r="26" spans="3:8" s="44" customFormat="1" ht="15">
      <c r="C26" s="189"/>
      <c r="H26" s="128"/>
    </row>
  </sheetData>
  <sheetProtection/>
  <printOptions horizontalCentered="1"/>
  <pageMargins left="0.7874015748031497" right="0.7874015748031497" top="1.1811023622047245" bottom="0.984251968503937" header="0.9055118110236221" footer="0.5118110236220472"/>
  <pageSetup horizontalDpi="600" verticalDpi="600" orientation="landscape" paperSize="9" scale="70" r:id="rId1"/>
  <headerFooter alignWithMargins="0">
    <oddHeader xml:space="preserve">&amp;L&amp;11Kapitola: 314 - Ministerstvo vnitra&amp;R&amp;"Arial CE,Tučné"&amp;12Tabulka č. 13&amp;"Arial CE,Obyčejné"&amp;10
 </oddHeader>
    <oddFooter>&amp;C&amp;11&amp;P+58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A6" sqref="A6"/>
    </sheetView>
  </sheetViews>
  <sheetFormatPr defaultColWidth="9.00390625" defaultRowHeight="12.75"/>
  <cols>
    <col min="1" max="16384" width="9.125" style="43" customWidth="1"/>
  </cols>
  <sheetData>
    <row r="4" ht="15">
      <c r="A4" s="111" t="s">
        <v>89</v>
      </c>
    </row>
  </sheetData>
  <printOptions horizontalCentered="1"/>
  <pageMargins left="0.984251968503937" right="0.7874015748031497" top="0.984251968503937" bottom="0.7874015748031497" header="0.7086614173228347" footer="0.31496062992125984"/>
  <pageSetup fitToHeight="2" horizontalDpi="600" verticalDpi="600" orientation="portrait" paperSize="9" scale="82" r:id="rId1"/>
  <headerFooter alignWithMargins="0">
    <oddHeader>&amp;L&amp;11  &amp;"Arial CE,Tučné" Kapitola: 314 - Ministerstvo vnitra&amp;C&amp;"Arial CE,Tučné"&amp;12
&amp;R&amp;"Arial CE,Tučné"&amp;12  &amp;11 Tabulka č. 14/1&amp;"Arial CE,Obyčejné"
List:&amp;P/&amp;N</oddHeader>
    <oddFooter xml:space="preserve">&amp;C&amp;12
&amp;10&amp;P+115
&amp;11
&amp;R&amp;12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8.125" style="43" customWidth="1"/>
    <col min="2" max="2" width="40.25390625" style="43" customWidth="1"/>
    <col min="3" max="7" width="19.875" style="43" customWidth="1"/>
    <col min="8" max="8" width="13.25390625" style="43" customWidth="1"/>
    <col min="9" max="9" width="11.75390625" style="43" customWidth="1"/>
    <col min="10" max="10" width="12.25390625" style="43" customWidth="1"/>
    <col min="11" max="13" width="11.75390625" style="43" customWidth="1"/>
    <col min="14" max="14" width="10.75390625" style="43" customWidth="1"/>
    <col min="15" max="16384" width="9.125" style="43" customWidth="1"/>
  </cols>
  <sheetData>
    <row r="1" ht="12" customHeight="1"/>
    <row r="2" ht="12" customHeight="1">
      <c r="A2" s="428"/>
    </row>
    <row r="3" ht="13.5" thickBot="1">
      <c r="G3" s="429" t="s">
        <v>91</v>
      </c>
    </row>
    <row r="4" spans="1:13" ht="17.25" customHeight="1" thickBot="1">
      <c r="A4" s="857" t="s">
        <v>149</v>
      </c>
      <c r="B4" s="858"/>
      <c r="C4" s="858"/>
      <c r="D4" s="858"/>
      <c r="E4" s="858"/>
      <c r="F4" s="858"/>
      <c r="G4" s="854"/>
      <c r="H4" s="178"/>
      <c r="I4" s="178"/>
      <c r="J4" s="178"/>
      <c r="K4" s="178"/>
      <c r="L4" s="178"/>
      <c r="M4" s="178"/>
    </row>
    <row r="5" spans="1:7" ht="45.75" customHeight="1" thickBot="1">
      <c r="A5" s="855" t="s">
        <v>150</v>
      </c>
      <c r="B5" s="856"/>
      <c r="C5" s="430" t="s">
        <v>151</v>
      </c>
      <c r="D5" s="430" t="s">
        <v>152</v>
      </c>
      <c r="E5" s="430" t="s">
        <v>153</v>
      </c>
      <c r="F5" s="430" t="s">
        <v>154</v>
      </c>
      <c r="G5" s="431" t="s">
        <v>155</v>
      </c>
    </row>
    <row r="6" spans="1:7" ht="34.5" customHeight="1">
      <c r="A6" s="888" t="s">
        <v>156</v>
      </c>
      <c r="B6" s="889"/>
      <c r="C6" s="432">
        <v>12900</v>
      </c>
      <c r="D6" s="432">
        <v>0</v>
      </c>
      <c r="E6" s="432">
        <v>0</v>
      </c>
      <c r="F6" s="432">
        <v>0</v>
      </c>
      <c r="G6" s="433">
        <f aca="true" t="shared" si="0" ref="G6:G19">SUM(C6:F6)</f>
        <v>12900</v>
      </c>
    </row>
    <row r="7" spans="1:7" ht="34.5" customHeight="1">
      <c r="A7" s="890" t="s">
        <v>157</v>
      </c>
      <c r="B7" s="891"/>
      <c r="C7" s="434">
        <v>14800</v>
      </c>
      <c r="D7" s="434">
        <v>0</v>
      </c>
      <c r="E7" s="434">
        <v>0</v>
      </c>
      <c r="F7" s="434">
        <v>0</v>
      </c>
      <c r="G7" s="433">
        <f t="shared" si="0"/>
        <v>14800</v>
      </c>
    </row>
    <row r="8" spans="1:7" ht="34.5" customHeight="1">
      <c r="A8" s="886" t="s">
        <v>158</v>
      </c>
      <c r="B8" s="887"/>
      <c r="C8" s="435">
        <v>3370</v>
      </c>
      <c r="D8" s="435">
        <v>0</v>
      </c>
      <c r="E8" s="435">
        <v>0</v>
      </c>
      <c r="F8" s="435">
        <v>0</v>
      </c>
      <c r="G8" s="433">
        <f t="shared" si="0"/>
        <v>3370</v>
      </c>
    </row>
    <row r="9" spans="1:7" ht="34.5" customHeight="1">
      <c r="A9" s="886" t="s">
        <v>159</v>
      </c>
      <c r="B9" s="887"/>
      <c r="C9" s="435">
        <v>25000</v>
      </c>
      <c r="D9" s="435">
        <v>0</v>
      </c>
      <c r="E9" s="435">
        <v>0</v>
      </c>
      <c r="F9" s="435">
        <v>0</v>
      </c>
      <c r="G9" s="433">
        <f t="shared" si="0"/>
        <v>25000</v>
      </c>
    </row>
    <row r="10" spans="1:10" ht="34.5" customHeight="1">
      <c r="A10" s="886" t="s">
        <v>160</v>
      </c>
      <c r="B10" s="887"/>
      <c r="C10" s="435">
        <v>0</v>
      </c>
      <c r="D10" s="435">
        <v>0</v>
      </c>
      <c r="E10" s="435">
        <v>0</v>
      </c>
      <c r="F10" s="435">
        <v>0</v>
      </c>
      <c r="G10" s="433">
        <f t="shared" si="0"/>
        <v>0</v>
      </c>
      <c r="J10" s="436"/>
    </row>
    <row r="11" spans="1:10" ht="34.5" customHeight="1">
      <c r="A11" s="886" t="s">
        <v>161</v>
      </c>
      <c r="B11" s="887"/>
      <c r="C11" s="435">
        <v>143015</v>
      </c>
      <c r="D11" s="435">
        <v>191053</v>
      </c>
      <c r="E11" s="435">
        <v>8289</v>
      </c>
      <c r="F11" s="435">
        <v>0</v>
      </c>
      <c r="G11" s="433">
        <f t="shared" si="0"/>
        <v>342357</v>
      </c>
      <c r="J11" s="436"/>
    </row>
    <row r="12" spans="1:7" ht="34.5" customHeight="1">
      <c r="A12" s="886" t="s">
        <v>162</v>
      </c>
      <c r="B12" s="887"/>
      <c r="C12" s="435">
        <v>522266</v>
      </c>
      <c r="D12" s="435">
        <v>20274</v>
      </c>
      <c r="E12" s="435">
        <v>40560</v>
      </c>
      <c r="F12" s="435">
        <v>0</v>
      </c>
      <c r="G12" s="433">
        <f t="shared" si="0"/>
        <v>583100</v>
      </c>
    </row>
    <row r="13" spans="1:7" ht="34.5" customHeight="1">
      <c r="A13" s="886" t="s">
        <v>163</v>
      </c>
      <c r="B13" s="887"/>
      <c r="C13" s="435">
        <v>64000</v>
      </c>
      <c r="D13" s="435">
        <v>198</v>
      </c>
      <c r="E13" s="435">
        <v>1676</v>
      </c>
      <c r="F13" s="435">
        <v>0</v>
      </c>
      <c r="G13" s="433">
        <f t="shared" si="0"/>
        <v>65874</v>
      </c>
    </row>
    <row r="14" spans="1:7" ht="34.5" customHeight="1">
      <c r="A14" s="886" t="s">
        <v>164</v>
      </c>
      <c r="B14" s="887"/>
      <c r="C14" s="435">
        <v>95816</v>
      </c>
      <c r="D14" s="435">
        <v>918</v>
      </c>
      <c r="E14" s="435">
        <v>7799</v>
      </c>
      <c r="F14" s="435">
        <v>0</v>
      </c>
      <c r="G14" s="433">
        <f t="shared" si="0"/>
        <v>104533</v>
      </c>
    </row>
    <row r="15" spans="1:7" ht="34.5" customHeight="1">
      <c r="A15" s="886" t="s">
        <v>165</v>
      </c>
      <c r="B15" s="887"/>
      <c r="C15" s="435">
        <v>0</v>
      </c>
      <c r="D15" s="435">
        <v>0</v>
      </c>
      <c r="E15" s="435">
        <v>0</v>
      </c>
      <c r="F15" s="435">
        <v>0</v>
      </c>
      <c r="G15" s="433">
        <f t="shared" si="0"/>
        <v>0</v>
      </c>
    </row>
    <row r="16" spans="1:7" ht="34.5" customHeight="1">
      <c r="A16" s="886" t="s">
        <v>166</v>
      </c>
      <c r="B16" s="887"/>
      <c r="C16" s="435">
        <v>0</v>
      </c>
      <c r="D16" s="435">
        <v>0</v>
      </c>
      <c r="E16" s="435">
        <v>0</v>
      </c>
      <c r="F16" s="435">
        <v>0</v>
      </c>
      <c r="G16" s="433">
        <f t="shared" si="0"/>
        <v>0</v>
      </c>
    </row>
    <row r="17" spans="1:7" ht="34.5" customHeight="1">
      <c r="A17" s="886" t="s">
        <v>167</v>
      </c>
      <c r="B17" s="887"/>
      <c r="C17" s="435">
        <v>12000</v>
      </c>
      <c r="D17" s="435">
        <v>0</v>
      </c>
      <c r="E17" s="435">
        <v>0</v>
      </c>
      <c r="F17" s="435">
        <v>0</v>
      </c>
      <c r="G17" s="433">
        <f t="shared" si="0"/>
        <v>12000</v>
      </c>
    </row>
    <row r="18" spans="1:7" ht="34.5" customHeight="1">
      <c r="A18" s="886" t="s">
        <v>168</v>
      </c>
      <c r="B18" s="887"/>
      <c r="C18" s="435">
        <v>183807</v>
      </c>
      <c r="D18" s="435">
        <v>232</v>
      </c>
      <c r="E18" s="435">
        <v>272</v>
      </c>
      <c r="F18" s="435">
        <v>0</v>
      </c>
      <c r="G18" s="433">
        <f t="shared" si="0"/>
        <v>184311</v>
      </c>
    </row>
    <row r="19" spans="1:7" ht="34.5" customHeight="1" thickBot="1">
      <c r="A19" s="890" t="s">
        <v>169</v>
      </c>
      <c r="B19" s="891"/>
      <c r="C19" s="434">
        <v>159</v>
      </c>
      <c r="D19" s="434">
        <v>0</v>
      </c>
      <c r="E19" s="434">
        <v>0</v>
      </c>
      <c r="F19" s="434">
        <v>0</v>
      </c>
      <c r="G19" s="433">
        <f t="shared" si="0"/>
        <v>159</v>
      </c>
    </row>
    <row r="20" spans="1:7" s="439" customFormat="1" ht="34.5" customHeight="1" thickBot="1">
      <c r="A20" s="853" t="s">
        <v>170</v>
      </c>
      <c r="B20" s="892"/>
      <c r="C20" s="437">
        <f>SUM(C6:C19)</f>
        <v>1077133</v>
      </c>
      <c r="D20" s="437">
        <f>SUM(D6:D19)</f>
        <v>212675</v>
      </c>
      <c r="E20" s="437">
        <f>SUM(E6:E19)</f>
        <v>58596</v>
      </c>
      <c r="F20" s="437">
        <f>SUM(F6:F19)</f>
        <v>0</v>
      </c>
      <c r="G20" s="438">
        <f>SUM(G6:G19)</f>
        <v>1348404</v>
      </c>
    </row>
  </sheetData>
  <sheetProtection/>
  <mergeCells count="17">
    <mergeCell ref="A13:B13"/>
    <mergeCell ref="A14:B14"/>
    <mergeCell ref="A19:B19"/>
    <mergeCell ref="A20:B20"/>
    <mergeCell ref="A15:B15"/>
    <mergeCell ref="A16:B16"/>
    <mergeCell ref="A17:B17"/>
    <mergeCell ref="A18:B18"/>
    <mergeCell ref="A12:B12"/>
    <mergeCell ref="A6:B6"/>
    <mergeCell ref="A7:B7"/>
    <mergeCell ref="A4:G4"/>
    <mergeCell ref="A5:B5"/>
    <mergeCell ref="A8:B8"/>
    <mergeCell ref="A9:B9"/>
    <mergeCell ref="A11:B11"/>
    <mergeCell ref="A10:B10"/>
  </mergeCells>
  <printOptions horizontalCentered="1"/>
  <pageMargins left="0.7874015748031497" right="0.7874015748031497" top="0.984251968503937" bottom="0.984251968503937" header="0.7086614173228347" footer="0.1968503937007874"/>
  <pageSetup blackAndWhite="1" fitToHeight="1" fitToWidth="1" horizontalDpi="600" verticalDpi="600" orientation="landscape" paperSize="9" scale="74" r:id="rId1"/>
  <headerFooter alignWithMargins="0">
    <oddHeader>&amp;L&amp;"Arial CE,Tučné"&amp;12Kapitola: 314 - Ministerstvo vnitra&amp;C&amp;"Arial CE,Tučné"&amp;14
Přehled výdajů programového financování v jednotlivých programech&amp;R&amp;"Arial CE,Tučné"&amp;12Tabulka č.  13/2
&amp;"Arial CE,Obyčejné"&amp;10List. č. 1/4</oddHeader>
    <oddFooter>&amp;C&amp;11
&amp;P+129
&amp;10
&amp;11
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="75" zoomScaleNormal="75" workbookViewId="0" topLeftCell="A1">
      <selection activeCell="A4" sqref="A4:G4"/>
    </sheetView>
  </sheetViews>
  <sheetFormatPr defaultColWidth="9.00390625" defaultRowHeight="12.75"/>
  <cols>
    <col min="1" max="1" width="8.125" style="43" customWidth="1"/>
    <col min="2" max="2" width="40.25390625" style="43" customWidth="1"/>
    <col min="3" max="7" width="19.875" style="43" customWidth="1"/>
    <col min="8" max="8" width="13.25390625" style="43" customWidth="1"/>
    <col min="9" max="9" width="11.75390625" style="43" customWidth="1"/>
    <col min="10" max="10" width="12.25390625" style="43" customWidth="1"/>
    <col min="11" max="13" width="11.75390625" style="43" customWidth="1"/>
    <col min="14" max="14" width="10.75390625" style="43" customWidth="1"/>
    <col min="15" max="16384" width="9.125" style="43" customWidth="1"/>
  </cols>
  <sheetData>
    <row r="1" ht="12" customHeight="1"/>
    <row r="2" ht="12" customHeight="1">
      <c r="A2" s="428"/>
    </row>
    <row r="3" ht="13.5" thickBot="1">
      <c r="G3" s="177" t="s">
        <v>91</v>
      </c>
    </row>
    <row r="4" spans="1:13" ht="17.25" customHeight="1" thickBot="1">
      <c r="A4" s="857" t="s">
        <v>171</v>
      </c>
      <c r="B4" s="858"/>
      <c r="C4" s="858"/>
      <c r="D4" s="858"/>
      <c r="E4" s="858"/>
      <c r="F4" s="858"/>
      <c r="G4" s="854"/>
      <c r="H4" s="178"/>
      <c r="I4" s="178"/>
      <c r="J4" s="178"/>
      <c r="K4" s="178"/>
      <c r="L4" s="178"/>
      <c r="M4" s="178"/>
    </row>
    <row r="5" spans="1:7" ht="39" thickBot="1">
      <c r="A5" s="855" t="s">
        <v>150</v>
      </c>
      <c r="B5" s="856"/>
      <c r="C5" s="430" t="s">
        <v>151</v>
      </c>
      <c r="D5" s="430" t="s">
        <v>152</v>
      </c>
      <c r="E5" s="430" t="s">
        <v>153</v>
      </c>
      <c r="F5" s="430" t="s">
        <v>154</v>
      </c>
      <c r="G5" s="431" t="s">
        <v>155</v>
      </c>
    </row>
    <row r="6" spans="1:7" ht="34.5" customHeight="1">
      <c r="A6" s="888" t="s">
        <v>156</v>
      </c>
      <c r="B6" s="889"/>
      <c r="C6" s="432">
        <v>45634</v>
      </c>
      <c r="D6" s="432">
        <v>0</v>
      </c>
      <c r="E6" s="432">
        <v>0</v>
      </c>
      <c r="F6" s="432">
        <v>0</v>
      </c>
      <c r="G6" s="433">
        <f aca="true" t="shared" si="0" ref="G6:G19">SUM(C6:F6)</f>
        <v>45634</v>
      </c>
    </row>
    <row r="7" spans="1:7" ht="34.5" customHeight="1">
      <c r="A7" s="890" t="s">
        <v>157</v>
      </c>
      <c r="B7" s="891"/>
      <c r="C7" s="434">
        <v>23869</v>
      </c>
      <c r="D7" s="434">
        <v>0</v>
      </c>
      <c r="E7" s="434">
        <v>0</v>
      </c>
      <c r="F7" s="434">
        <v>0</v>
      </c>
      <c r="G7" s="433">
        <f t="shared" si="0"/>
        <v>23869</v>
      </c>
    </row>
    <row r="8" spans="1:7" ht="34.5" customHeight="1">
      <c r="A8" s="886" t="s">
        <v>158</v>
      </c>
      <c r="B8" s="887"/>
      <c r="C8" s="435">
        <v>20710</v>
      </c>
      <c r="D8" s="435">
        <v>0</v>
      </c>
      <c r="E8" s="435">
        <v>0</v>
      </c>
      <c r="F8" s="435">
        <v>0</v>
      </c>
      <c r="G8" s="433">
        <f t="shared" si="0"/>
        <v>20710</v>
      </c>
    </row>
    <row r="9" spans="1:7" ht="34.5" customHeight="1">
      <c r="A9" s="886" t="s">
        <v>159</v>
      </c>
      <c r="B9" s="887"/>
      <c r="C9" s="435">
        <v>13476</v>
      </c>
      <c r="D9" s="435">
        <v>0</v>
      </c>
      <c r="E9" s="435">
        <v>0</v>
      </c>
      <c r="F9" s="435">
        <v>0</v>
      </c>
      <c r="G9" s="433">
        <f t="shared" si="0"/>
        <v>13476</v>
      </c>
    </row>
    <row r="10" spans="1:7" ht="34.5" customHeight="1">
      <c r="A10" s="886" t="s">
        <v>160</v>
      </c>
      <c r="B10" s="887"/>
      <c r="C10" s="435">
        <v>0</v>
      </c>
      <c r="D10" s="435">
        <v>0</v>
      </c>
      <c r="E10" s="435">
        <v>0</v>
      </c>
      <c r="F10" s="435">
        <v>0</v>
      </c>
      <c r="G10" s="433">
        <f t="shared" si="0"/>
        <v>0</v>
      </c>
    </row>
    <row r="11" spans="1:7" ht="34.5" customHeight="1">
      <c r="A11" s="886" t="s">
        <v>161</v>
      </c>
      <c r="B11" s="887"/>
      <c r="C11" s="435">
        <v>125074</v>
      </c>
      <c r="D11" s="435">
        <v>187378</v>
      </c>
      <c r="E11" s="435">
        <v>553909</v>
      </c>
      <c r="F11" s="435">
        <v>0</v>
      </c>
      <c r="G11" s="433">
        <f t="shared" si="0"/>
        <v>866361</v>
      </c>
    </row>
    <row r="12" spans="1:7" ht="34.5" customHeight="1">
      <c r="A12" s="886" t="s">
        <v>162</v>
      </c>
      <c r="B12" s="887"/>
      <c r="C12" s="435">
        <v>552469</v>
      </c>
      <c r="D12" s="435">
        <v>23954</v>
      </c>
      <c r="E12" s="435">
        <v>63786</v>
      </c>
      <c r="F12" s="435">
        <v>0</v>
      </c>
      <c r="G12" s="433">
        <f t="shared" si="0"/>
        <v>640209</v>
      </c>
    </row>
    <row r="13" spans="1:7" ht="34.5" customHeight="1">
      <c r="A13" s="886" t="s">
        <v>163</v>
      </c>
      <c r="B13" s="887"/>
      <c r="C13" s="435">
        <v>59668</v>
      </c>
      <c r="D13" s="435">
        <v>1044</v>
      </c>
      <c r="E13" s="435">
        <v>1676</v>
      </c>
      <c r="F13" s="435">
        <v>0</v>
      </c>
      <c r="G13" s="433">
        <f t="shared" si="0"/>
        <v>62388</v>
      </c>
    </row>
    <row r="14" spans="1:7" ht="34.5" customHeight="1">
      <c r="A14" s="886" t="s">
        <v>164</v>
      </c>
      <c r="B14" s="887"/>
      <c r="C14" s="435">
        <v>160713</v>
      </c>
      <c r="D14" s="435">
        <v>0</v>
      </c>
      <c r="E14" s="435">
        <v>0</v>
      </c>
      <c r="F14" s="435">
        <v>0</v>
      </c>
      <c r="G14" s="433">
        <f t="shared" si="0"/>
        <v>160713</v>
      </c>
    </row>
    <row r="15" spans="1:7" ht="34.5" customHeight="1">
      <c r="A15" s="886" t="s">
        <v>165</v>
      </c>
      <c r="B15" s="887"/>
      <c r="C15" s="435">
        <v>1800</v>
      </c>
      <c r="D15" s="435">
        <v>0</v>
      </c>
      <c r="E15" s="435">
        <v>0</v>
      </c>
      <c r="F15" s="435">
        <v>0</v>
      </c>
      <c r="G15" s="433">
        <f t="shared" si="0"/>
        <v>1800</v>
      </c>
    </row>
    <row r="16" spans="1:7" ht="34.5" customHeight="1">
      <c r="A16" s="886" t="s">
        <v>166</v>
      </c>
      <c r="B16" s="887"/>
      <c r="C16" s="435">
        <v>0</v>
      </c>
      <c r="D16" s="435">
        <v>0</v>
      </c>
      <c r="E16" s="435">
        <v>0</v>
      </c>
      <c r="F16" s="435">
        <v>0</v>
      </c>
      <c r="G16" s="433">
        <f t="shared" si="0"/>
        <v>0</v>
      </c>
    </row>
    <row r="17" spans="1:7" ht="34.5" customHeight="1">
      <c r="A17" s="886" t="s">
        <v>167</v>
      </c>
      <c r="B17" s="887"/>
      <c r="C17" s="435">
        <v>13591</v>
      </c>
      <c r="D17" s="435">
        <v>0</v>
      </c>
      <c r="E17" s="435">
        <v>0</v>
      </c>
      <c r="F17" s="435">
        <v>0</v>
      </c>
      <c r="G17" s="433">
        <f t="shared" si="0"/>
        <v>13591</v>
      </c>
    </row>
    <row r="18" spans="1:7" ht="34.5" customHeight="1">
      <c r="A18" s="886" t="s">
        <v>168</v>
      </c>
      <c r="B18" s="887"/>
      <c r="C18" s="435">
        <v>152886</v>
      </c>
      <c r="D18" s="435">
        <v>4206</v>
      </c>
      <c r="E18" s="435">
        <v>306</v>
      </c>
      <c r="F18" s="435">
        <v>0</v>
      </c>
      <c r="G18" s="433">
        <f t="shared" si="0"/>
        <v>157398</v>
      </c>
    </row>
    <row r="19" spans="1:7" ht="34.5" customHeight="1" thickBot="1">
      <c r="A19" s="890" t="s">
        <v>169</v>
      </c>
      <c r="B19" s="891"/>
      <c r="C19" s="434">
        <v>57950</v>
      </c>
      <c r="D19" s="434">
        <v>0</v>
      </c>
      <c r="E19" s="434">
        <v>0</v>
      </c>
      <c r="F19" s="434">
        <v>0</v>
      </c>
      <c r="G19" s="433">
        <f t="shared" si="0"/>
        <v>57950</v>
      </c>
    </row>
    <row r="20" spans="1:7" s="439" customFormat="1" ht="34.5" customHeight="1" thickBot="1">
      <c r="A20" s="853" t="s">
        <v>170</v>
      </c>
      <c r="B20" s="892"/>
      <c r="C20" s="437">
        <f>SUM(C6:C19)</f>
        <v>1227840</v>
      </c>
      <c r="D20" s="437">
        <f>SUM(D6:D19)</f>
        <v>216582</v>
      </c>
      <c r="E20" s="437">
        <f>SUM(E6:E19)</f>
        <v>619677</v>
      </c>
      <c r="F20" s="437">
        <f>SUM(F6:F19)</f>
        <v>0</v>
      </c>
      <c r="G20" s="438">
        <f>SUM(G6:G19)</f>
        <v>2064099</v>
      </c>
    </row>
  </sheetData>
  <sheetProtection/>
  <mergeCells count="17">
    <mergeCell ref="A19:B19"/>
    <mergeCell ref="A20:B20"/>
    <mergeCell ref="A14:B14"/>
    <mergeCell ref="A15:B15"/>
    <mergeCell ref="A17:B17"/>
    <mergeCell ref="A18:B18"/>
    <mergeCell ref="A16:B16"/>
    <mergeCell ref="A11:B11"/>
    <mergeCell ref="A12:B12"/>
    <mergeCell ref="A13:B13"/>
    <mergeCell ref="A4:G4"/>
    <mergeCell ref="A5:B5"/>
    <mergeCell ref="A6:B6"/>
    <mergeCell ref="A7:B7"/>
    <mergeCell ref="A8:B8"/>
    <mergeCell ref="A9:B9"/>
    <mergeCell ref="A10:B10"/>
  </mergeCells>
  <printOptions horizontalCentered="1"/>
  <pageMargins left="0.7874015748031497" right="0.7874015748031497" top="0.984251968503937" bottom="1.1811023622047245" header="0.7086614173228347" footer="0.11811023622047245"/>
  <pageSetup blackAndWhite="1" fitToHeight="1" fitToWidth="1" horizontalDpi="600" verticalDpi="600" orientation="landscape" paperSize="9" scale="72" r:id="rId1"/>
  <headerFooter alignWithMargins="0">
    <oddHeader>&amp;L&amp;"Arial CE,Tučné"&amp;12Kapitola: 314 - Ministerstvo vnitra&amp;C&amp;"Arial CE,Tučné"&amp;14
Přehled výdajů programového financování v jednotlivých programech&amp;R&amp;"Arial CE,Tučné"&amp;12Tabulka č.  13/2
&amp;"Arial CE,Obyčejné"&amp;10List. č. 2/4</oddHeader>
    <oddFooter>&amp;C&amp;11
&amp;P+130
&amp;10
&amp;11
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="75" zoomScaleNormal="75" workbookViewId="0" topLeftCell="C13">
      <selection activeCell="C31" sqref="C31"/>
    </sheetView>
  </sheetViews>
  <sheetFormatPr defaultColWidth="9.00390625" defaultRowHeight="12.75"/>
  <cols>
    <col min="1" max="1" width="8.125" style="113" customWidth="1"/>
    <col min="2" max="2" width="40.125" style="113" customWidth="1"/>
    <col min="3" max="3" width="11.75390625" style="113" customWidth="1"/>
    <col min="4" max="4" width="15.625" style="113" customWidth="1"/>
    <col min="5" max="6" width="11.75390625" style="113" customWidth="1"/>
    <col min="7" max="7" width="16.25390625" style="113" customWidth="1"/>
    <col min="8" max="8" width="16.00390625" style="113" customWidth="1"/>
    <col min="9" max="9" width="15.875" style="113" customWidth="1"/>
    <col min="10" max="10" width="16.125" style="113" customWidth="1"/>
    <col min="11" max="13" width="11.75390625" style="113" customWidth="1"/>
    <col min="14" max="14" width="10.75390625" style="113" customWidth="1"/>
    <col min="15" max="16384" width="9.125" style="113" customWidth="1"/>
  </cols>
  <sheetData>
    <row r="1" ht="12" customHeight="1"/>
    <row r="2" ht="12" customHeight="1">
      <c r="A2" s="176"/>
    </row>
    <row r="3" spans="1:13" ht="12.75" thickBot="1">
      <c r="A3" s="181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77" t="s">
        <v>91</v>
      </c>
    </row>
    <row r="4" spans="1:13" s="43" customFormat="1" ht="17.25" customHeight="1" thickBot="1">
      <c r="A4" s="893" t="s">
        <v>172</v>
      </c>
      <c r="B4" s="894"/>
      <c r="C4" s="894"/>
      <c r="D4" s="894"/>
      <c r="E4" s="894"/>
      <c r="F4" s="894"/>
      <c r="G4" s="894"/>
      <c r="H4" s="895"/>
      <c r="I4" s="895"/>
      <c r="J4" s="895"/>
      <c r="K4" s="895"/>
      <c r="L4" s="895"/>
      <c r="M4" s="896"/>
    </row>
    <row r="5" spans="1:13" ht="60.75" thickBot="1">
      <c r="A5" s="897" t="s">
        <v>150</v>
      </c>
      <c r="B5" s="898"/>
      <c r="C5" s="179" t="s">
        <v>151</v>
      </c>
      <c r="D5" s="179" t="s">
        <v>152</v>
      </c>
      <c r="E5" s="179" t="s">
        <v>153</v>
      </c>
      <c r="F5" s="179" t="s">
        <v>173</v>
      </c>
      <c r="G5" s="179" t="s">
        <v>174</v>
      </c>
      <c r="H5" s="179" t="s">
        <v>175</v>
      </c>
      <c r="I5" s="179" t="s">
        <v>176</v>
      </c>
      <c r="J5" s="179" t="s">
        <v>177</v>
      </c>
      <c r="K5" s="179" t="s">
        <v>178</v>
      </c>
      <c r="L5" s="179" t="s">
        <v>179</v>
      </c>
      <c r="M5" s="180" t="s">
        <v>155</v>
      </c>
    </row>
    <row r="6" spans="1:13" s="43" customFormat="1" ht="34.5" customHeight="1">
      <c r="A6" s="888" t="s">
        <v>156</v>
      </c>
      <c r="B6" s="889"/>
      <c r="C6" s="440">
        <v>36912</v>
      </c>
      <c r="D6" s="440">
        <v>0</v>
      </c>
      <c r="E6" s="440">
        <v>0</v>
      </c>
      <c r="F6" s="440">
        <v>0</v>
      </c>
      <c r="G6" s="440">
        <v>4733</v>
      </c>
      <c r="H6" s="440">
        <v>0</v>
      </c>
      <c r="I6" s="440">
        <v>0</v>
      </c>
      <c r="J6" s="440">
        <v>0</v>
      </c>
      <c r="K6" s="440">
        <v>0</v>
      </c>
      <c r="L6" s="440">
        <v>0</v>
      </c>
      <c r="M6" s="441">
        <f>SUM(C6:L6)</f>
        <v>41645</v>
      </c>
    </row>
    <row r="7" spans="1:13" s="43" customFormat="1" ht="34.5" customHeight="1">
      <c r="A7" s="890" t="s">
        <v>157</v>
      </c>
      <c r="B7" s="891"/>
      <c r="C7" s="442">
        <v>13446</v>
      </c>
      <c r="D7" s="442">
        <v>0</v>
      </c>
      <c r="E7" s="442">
        <v>0</v>
      </c>
      <c r="F7" s="442">
        <v>0</v>
      </c>
      <c r="G7" s="442">
        <v>2677</v>
      </c>
      <c r="H7" s="442">
        <v>0</v>
      </c>
      <c r="I7" s="442">
        <v>0</v>
      </c>
      <c r="J7" s="442">
        <v>0</v>
      </c>
      <c r="K7" s="442">
        <v>0</v>
      </c>
      <c r="L7" s="442"/>
      <c r="M7" s="441">
        <f>SUM(C7:L7)</f>
        <v>16123</v>
      </c>
    </row>
    <row r="8" spans="1:13" s="43" customFormat="1" ht="34.5" customHeight="1">
      <c r="A8" s="886" t="s">
        <v>158</v>
      </c>
      <c r="B8" s="887"/>
      <c r="C8" s="443">
        <v>15969</v>
      </c>
      <c r="D8" s="443">
        <v>0</v>
      </c>
      <c r="E8" s="443">
        <v>0</v>
      </c>
      <c r="F8" s="443">
        <v>0</v>
      </c>
      <c r="G8" s="443">
        <v>1100</v>
      </c>
      <c r="H8" s="443">
        <v>0</v>
      </c>
      <c r="I8" s="443">
        <v>0</v>
      </c>
      <c r="J8" s="443">
        <v>0</v>
      </c>
      <c r="K8" s="443">
        <v>0</v>
      </c>
      <c r="L8" s="443">
        <v>0</v>
      </c>
      <c r="M8" s="441">
        <f>SUM(C8:L8)</f>
        <v>17069</v>
      </c>
    </row>
    <row r="9" spans="1:13" s="43" customFormat="1" ht="34.5" customHeight="1">
      <c r="A9" s="886" t="s">
        <v>159</v>
      </c>
      <c r="B9" s="887"/>
      <c r="C9" s="443">
        <v>13476</v>
      </c>
      <c r="D9" s="443">
        <v>0</v>
      </c>
      <c r="E9" s="443">
        <v>0</v>
      </c>
      <c r="F9" s="443">
        <v>0</v>
      </c>
      <c r="G9" s="443">
        <v>7947</v>
      </c>
      <c r="H9" s="443">
        <v>0</v>
      </c>
      <c r="I9" s="443">
        <v>0</v>
      </c>
      <c r="J9" s="443">
        <v>0</v>
      </c>
      <c r="K9" s="443">
        <v>0</v>
      </c>
      <c r="L9" s="443">
        <v>0</v>
      </c>
      <c r="M9" s="441">
        <f>SUM(C9:L9)</f>
        <v>21423</v>
      </c>
    </row>
    <row r="10" spans="1:13" s="43" customFormat="1" ht="34.5" customHeight="1">
      <c r="A10" s="886" t="s">
        <v>160</v>
      </c>
      <c r="B10" s="887"/>
      <c r="C10" s="443">
        <v>0</v>
      </c>
      <c r="D10" s="443">
        <v>0</v>
      </c>
      <c r="E10" s="443">
        <v>0</v>
      </c>
      <c r="F10" s="443">
        <v>0</v>
      </c>
      <c r="G10" s="443">
        <v>0</v>
      </c>
      <c r="H10" s="443">
        <v>0</v>
      </c>
      <c r="I10" s="443" t="s">
        <v>180</v>
      </c>
      <c r="J10" s="443">
        <v>0</v>
      </c>
      <c r="K10" s="443">
        <v>0</v>
      </c>
      <c r="L10" s="443">
        <v>0</v>
      </c>
      <c r="M10" s="441">
        <v>182</v>
      </c>
    </row>
    <row r="11" spans="1:13" s="43" customFormat="1" ht="34.5" customHeight="1">
      <c r="A11" s="886" t="s">
        <v>161</v>
      </c>
      <c r="B11" s="887"/>
      <c r="C11" s="443">
        <v>89759</v>
      </c>
      <c r="D11" s="443">
        <v>5084</v>
      </c>
      <c r="E11" s="443">
        <v>66626</v>
      </c>
      <c r="F11" s="443">
        <v>0</v>
      </c>
      <c r="G11" s="443">
        <v>33522</v>
      </c>
      <c r="H11" s="443">
        <v>118755</v>
      </c>
      <c r="I11" s="443">
        <v>876871</v>
      </c>
      <c r="J11" s="443">
        <v>0</v>
      </c>
      <c r="K11" s="443">
        <v>0</v>
      </c>
      <c r="L11" s="443">
        <v>1624</v>
      </c>
      <c r="M11" s="441">
        <f aca="true" t="shared" si="0" ref="M11:M19">SUM(C11:L11)</f>
        <v>1192241</v>
      </c>
    </row>
    <row r="12" spans="1:13" s="43" customFormat="1" ht="34.5" customHeight="1">
      <c r="A12" s="886" t="s">
        <v>162</v>
      </c>
      <c r="B12" s="887"/>
      <c r="C12" s="443">
        <v>378307</v>
      </c>
      <c r="D12" s="443">
        <v>5255</v>
      </c>
      <c r="E12" s="443">
        <v>331</v>
      </c>
      <c r="F12" s="443">
        <v>0</v>
      </c>
      <c r="G12" s="443">
        <v>102237</v>
      </c>
      <c r="H12" s="443">
        <v>3557</v>
      </c>
      <c r="I12" s="443">
        <v>21742</v>
      </c>
      <c r="J12" s="443">
        <v>72</v>
      </c>
      <c r="K12" s="443">
        <v>19598</v>
      </c>
      <c r="L12" s="443">
        <v>0</v>
      </c>
      <c r="M12" s="441">
        <f t="shared" si="0"/>
        <v>531099</v>
      </c>
    </row>
    <row r="13" spans="1:13" s="43" customFormat="1" ht="34.5" customHeight="1">
      <c r="A13" s="886" t="s">
        <v>163</v>
      </c>
      <c r="B13" s="887"/>
      <c r="C13" s="443">
        <v>49703</v>
      </c>
      <c r="D13" s="443">
        <v>238</v>
      </c>
      <c r="E13" s="443">
        <v>1355</v>
      </c>
      <c r="F13" s="443">
        <v>0</v>
      </c>
      <c r="G13" s="443">
        <v>28921</v>
      </c>
      <c r="H13" s="443">
        <v>429</v>
      </c>
      <c r="I13" s="443">
        <v>3358</v>
      </c>
      <c r="J13" s="443">
        <v>0</v>
      </c>
      <c r="K13" s="443">
        <v>0</v>
      </c>
      <c r="L13" s="443">
        <v>0</v>
      </c>
      <c r="M13" s="441">
        <f t="shared" si="0"/>
        <v>84004</v>
      </c>
    </row>
    <row r="14" spans="1:13" s="43" customFormat="1" ht="34.5" customHeight="1">
      <c r="A14" s="886" t="s">
        <v>164</v>
      </c>
      <c r="B14" s="887"/>
      <c r="C14" s="443">
        <v>129984</v>
      </c>
      <c r="D14" s="443">
        <v>0</v>
      </c>
      <c r="E14" s="443">
        <v>0</v>
      </c>
      <c r="F14" s="443">
        <v>0</v>
      </c>
      <c r="G14" s="443">
        <v>0</v>
      </c>
      <c r="H14" s="443">
        <v>0</v>
      </c>
      <c r="I14" s="443">
        <v>0</v>
      </c>
      <c r="J14" s="443">
        <v>0</v>
      </c>
      <c r="K14" s="443">
        <v>2177</v>
      </c>
      <c r="L14" s="443">
        <v>88471</v>
      </c>
      <c r="M14" s="441">
        <f t="shared" si="0"/>
        <v>220632</v>
      </c>
    </row>
    <row r="15" spans="1:13" s="43" customFormat="1" ht="34.5" customHeight="1">
      <c r="A15" s="886" t="s">
        <v>165</v>
      </c>
      <c r="B15" s="887"/>
      <c r="C15" s="443">
        <v>1800</v>
      </c>
      <c r="D15" s="443">
        <v>0</v>
      </c>
      <c r="E15" s="443">
        <v>0</v>
      </c>
      <c r="F15" s="443">
        <v>0</v>
      </c>
      <c r="G15" s="443">
        <v>6610</v>
      </c>
      <c r="H15" s="443">
        <v>0</v>
      </c>
      <c r="I15" s="443">
        <v>0</v>
      </c>
      <c r="J15" s="443">
        <v>0</v>
      </c>
      <c r="K15" s="443">
        <v>0</v>
      </c>
      <c r="L15" s="443">
        <v>0</v>
      </c>
      <c r="M15" s="441">
        <f t="shared" si="0"/>
        <v>8410</v>
      </c>
    </row>
    <row r="16" spans="1:13" s="43" customFormat="1" ht="34.5" customHeight="1">
      <c r="A16" s="886" t="s">
        <v>166</v>
      </c>
      <c r="B16" s="887"/>
      <c r="C16" s="443">
        <v>0</v>
      </c>
      <c r="D16" s="443">
        <v>0</v>
      </c>
      <c r="E16" s="443">
        <v>0</v>
      </c>
      <c r="F16" s="443">
        <v>0</v>
      </c>
      <c r="G16" s="443">
        <v>4619</v>
      </c>
      <c r="H16" s="443">
        <v>0</v>
      </c>
      <c r="I16" s="443">
        <v>0</v>
      </c>
      <c r="J16" s="443">
        <v>0</v>
      </c>
      <c r="K16" s="443">
        <v>0</v>
      </c>
      <c r="L16" s="443">
        <v>0</v>
      </c>
      <c r="M16" s="441">
        <f t="shared" si="0"/>
        <v>4619</v>
      </c>
    </row>
    <row r="17" spans="1:13" s="43" customFormat="1" ht="34.5" customHeight="1">
      <c r="A17" s="886" t="s">
        <v>167</v>
      </c>
      <c r="B17" s="887"/>
      <c r="C17" s="443">
        <v>1591</v>
      </c>
      <c r="D17" s="443">
        <v>0</v>
      </c>
      <c r="E17" s="443">
        <v>0</v>
      </c>
      <c r="F17" s="443">
        <v>0</v>
      </c>
      <c r="G17" s="443">
        <v>5595</v>
      </c>
      <c r="H17" s="443">
        <v>8</v>
      </c>
      <c r="I17" s="443">
        <v>45</v>
      </c>
      <c r="J17" s="443">
        <v>0</v>
      </c>
      <c r="K17" s="443">
        <v>0</v>
      </c>
      <c r="L17" s="443">
        <v>0</v>
      </c>
      <c r="M17" s="441">
        <f t="shared" si="0"/>
        <v>7239</v>
      </c>
    </row>
    <row r="18" spans="1:13" s="43" customFormat="1" ht="34.5" customHeight="1">
      <c r="A18" s="886" t="s">
        <v>168</v>
      </c>
      <c r="B18" s="887"/>
      <c r="C18" s="444">
        <v>106252</v>
      </c>
      <c r="D18" s="443">
        <v>923</v>
      </c>
      <c r="E18" s="443">
        <v>0</v>
      </c>
      <c r="F18" s="443">
        <v>0</v>
      </c>
      <c r="G18" s="444">
        <v>32907</v>
      </c>
      <c r="H18" s="443">
        <v>24494</v>
      </c>
      <c r="I18" s="443">
        <v>132093</v>
      </c>
      <c r="J18" s="443">
        <v>0</v>
      </c>
      <c r="K18" s="443">
        <v>0</v>
      </c>
      <c r="L18" s="443">
        <v>0</v>
      </c>
      <c r="M18" s="441">
        <f t="shared" si="0"/>
        <v>296669</v>
      </c>
    </row>
    <row r="19" spans="1:13" s="43" customFormat="1" ht="34.5" customHeight="1" thickBot="1">
      <c r="A19" s="890" t="s">
        <v>169</v>
      </c>
      <c r="B19" s="891"/>
      <c r="C19" s="442">
        <v>57943</v>
      </c>
      <c r="D19" s="442">
        <v>0</v>
      </c>
      <c r="E19" s="442">
        <v>0</v>
      </c>
      <c r="F19" s="442">
        <v>0</v>
      </c>
      <c r="G19" s="442">
        <v>16975</v>
      </c>
      <c r="H19" s="442">
        <v>0</v>
      </c>
      <c r="I19" s="442">
        <v>0</v>
      </c>
      <c r="J19" s="442">
        <v>0</v>
      </c>
      <c r="K19" s="442">
        <v>0</v>
      </c>
      <c r="L19" s="442">
        <v>0</v>
      </c>
      <c r="M19" s="441">
        <f t="shared" si="0"/>
        <v>74918</v>
      </c>
    </row>
    <row r="20" spans="1:13" s="439" customFormat="1" ht="34.5" customHeight="1" thickBot="1">
      <c r="A20" s="853" t="s">
        <v>170</v>
      </c>
      <c r="B20" s="892"/>
      <c r="C20" s="445">
        <f aca="true" t="shared" si="1" ref="C20:H20">SUM(C6:C19)</f>
        <v>895142</v>
      </c>
      <c r="D20" s="445">
        <f t="shared" si="1"/>
        <v>11500</v>
      </c>
      <c r="E20" s="445">
        <f t="shared" si="1"/>
        <v>68312</v>
      </c>
      <c r="F20" s="445">
        <f t="shared" si="1"/>
        <v>0</v>
      </c>
      <c r="G20" s="445">
        <f t="shared" si="1"/>
        <v>247843</v>
      </c>
      <c r="H20" s="445">
        <f t="shared" si="1"/>
        <v>147243</v>
      </c>
      <c r="I20" s="445">
        <f>SUM(I6:I19)+182</f>
        <v>1034291</v>
      </c>
      <c r="J20" s="445">
        <f>SUM(J6:J19)</f>
        <v>72</v>
      </c>
      <c r="K20" s="445">
        <f>SUM(K6:K19)</f>
        <v>21775</v>
      </c>
      <c r="L20" s="445">
        <f>SUM(L6:L19)</f>
        <v>90095</v>
      </c>
      <c r="M20" s="446">
        <f>SUM(M6:M19)</f>
        <v>2516273</v>
      </c>
    </row>
  </sheetData>
  <sheetProtection/>
  <mergeCells count="17">
    <mergeCell ref="A13:B13"/>
    <mergeCell ref="A14:B14"/>
    <mergeCell ref="A19:B19"/>
    <mergeCell ref="A20:B20"/>
    <mergeCell ref="A15:B15"/>
    <mergeCell ref="A16:B16"/>
    <mergeCell ref="A17:B17"/>
    <mergeCell ref="A18:B18"/>
    <mergeCell ref="A12:B12"/>
    <mergeCell ref="A6:B6"/>
    <mergeCell ref="A7:B7"/>
    <mergeCell ref="A4:M4"/>
    <mergeCell ref="A5:B5"/>
    <mergeCell ref="A8:B8"/>
    <mergeCell ref="A9:B9"/>
    <mergeCell ref="A11:B11"/>
    <mergeCell ref="A10:B10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66" r:id="rId1"/>
  <headerFooter alignWithMargins="0">
    <oddHeader>&amp;L&amp;"Arial CE,Tučné"&amp;12Kapitola: 314 - Ministerstvo vnitra&amp;C
&amp;"Arial CE,Tučné"&amp;14Přehled výdajů programového financování v jednotlivých programech&amp;R&amp;"Arial CE,Tučné"&amp;12Tabulka č.  13/2
&amp;"Arial CE,Obyčejné"&amp;10List. č. 3/4</oddHeader>
    <oddFooter>&amp;C&amp;12&amp;P+131
&amp;11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zoomScale="75" zoomScaleNormal="75" workbookViewId="0" topLeftCell="A10">
      <selection activeCell="A20" sqref="A20:B20"/>
    </sheetView>
  </sheetViews>
  <sheetFormatPr defaultColWidth="9.00390625" defaultRowHeight="12.75"/>
  <cols>
    <col min="1" max="1" width="8.125" style="43" customWidth="1"/>
    <col min="2" max="2" width="40.25390625" style="43" customWidth="1"/>
    <col min="3" max="8" width="20.375" style="43" customWidth="1"/>
    <col min="9" max="9" width="13.25390625" style="43" customWidth="1"/>
    <col min="10" max="10" width="11.75390625" style="43" customWidth="1"/>
    <col min="11" max="11" width="12.25390625" style="43" customWidth="1"/>
    <col min="12" max="14" width="11.75390625" style="43" customWidth="1"/>
    <col min="15" max="15" width="10.75390625" style="43" customWidth="1"/>
    <col min="16" max="16384" width="9.125" style="43" customWidth="1"/>
  </cols>
  <sheetData>
    <row r="1" ht="14.25" customHeight="1"/>
    <row r="2" ht="14.25" customHeight="1">
      <c r="A2" s="428"/>
    </row>
    <row r="3" spans="1:14" ht="13.5" thickBot="1">
      <c r="A3" s="447"/>
      <c r="B3" s="448"/>
      <c r="C3" s="184"/>
      <c r="D3" s="184"/>
      <c r="E3" s="184"/>
      <c r="F3" s="184"/>
      <c r="G3" s="184"/>
      <c r="H3" s="177" t="s">
        <v>91</v>
      </c>
      <c r="I3" s="184"/>
      <c r="J3" s="184"/>
      <c r="K3" s="184"/>
      <c r="L3" s="184"/>
      <c r="M3" s="184"/>
      <c r="N3" s="184"/>
    </row>
    <row r="4" spans="1:14" ht="17.25" customHeight="1" thickBot="1">
      <c r="A4" s="857" t="s">
        <v>181</v>
      </c>
      <c r="B4" s="858"/>
      <c r="C4" s="858"/>
      <c r="D4" s="858"/>
      <c r="E4" s="858"/>
      <c r="F4" s="858"/>
      <c r="G4" s="858"/>
      <c r="H4" s="854"/>
      <c r="I4" s="184"/>
      <c r="J4" s="184"/>
      <c r="K4" s="184"/>
      <c r="L4" s="184"/>
      <c r="M4" s="184"/>
      <c r="N4" s="184"/>
    </row>
    <row r="5" spans="1:14" ht="39" thickBot="1">
      <c r="A5" s="855" t="s">
        <v>150</v>
      </c>
      <c r="B5" s="856"/>
      <c r="C5" s="430" t="s">
        <v>151</v>
      </c>
      <c r="D5" s="430" t="s">
        <v>152</v>
      </c>
      <c r="E5" s="430" t="s">
        <v>153</v>
      </c>
      <c r="F5" s="430" t="s">
        <v>182</v>
      </c>
      <c r="G5" s="430" t="s">
        <v>179</v>
      </c>
      <c r="H5" s="431" t="s">
        <v>155</v>
      </c>
      <c r="I5" s="184"/>
      <c r="J5" s="184"/>
      <c r="K5" s="184"/>
      <c r="L5" s="184"/>
      <c r="M5" s="184"/>
      <c r="N5" s="184"/>
    </row>
    <row r="6" spans="1:14" ht="34.5" customHeight="1">
      <c r="A6" s="888" t="s">
        <v>156</v>
      </c>
      <c r="B6" s="889"/>
      <c r="C6" s="432">
        <v>8322</v>
      </c>
      <c r="D6" s="432">
        <v>0</v>
      </c>
      <c r="E6" s="432">
        <v>0</v>
      </c>
      <c r="F6" s="432">
        <v>0</v>
      </c>
      <c r="G6" s="432">
        <v>0</v>
      </c>
      <c r="H6" s="433">
        <f aca="true" t="shared" si="0" ref="H6:H19">SUM(C6:G6)</f>
        <v>8322</v>
      </c>
      <c r="I6" s="184"/>
      <c r="J6" s="184"/>
      <c r="K6" s="184"/>
      <c r="L6" s="184"/>
      <c r="M6" s="184"/>
      <c r="N6" s="184"/>
    </row>
    <row r="7" spans="1:8" ht="34.5" customHeight="1">
      <c r="A7" s="890" t="s">
        <v>157</v>
      </c>
      <c r="B7" s="891"/>
      <c r="C7" s="434">
        <v>10423</v>
      </c>
      <c r="D7" s="434">
        <v>0</v>
      </c>
      <c r="E7" s="434">
        <v>0</v>
      </c>
      <c r="F7" s="434">
        <v>0</v>
      </c>
      <c r="G7" s="434">
        <v>0</v>
      </c>
      <c r="H7" s="433">
        <f t="shared" si="0"/>
        <v>10423</v>
      </c>
    </row>
    <row r="8" spans="1:14" ht="34.5" customHeight="1">
      <c r="A8" s="886" t="s">
        <v>158</v>
      </c>
      <c r="B8" s="887"/>
      <c r="C8" s="435">
        <v>3091</v>
      </c>
      <c r="D8" s="435">
        <v>0</v>
      </c>
      <c r="E8" s="435">
        <v>0</v>
      </c>
      <c r="F8" s="435">
        <v>0</v>
      </c>
      <c r="G8" s="435">
        <v>0</v>
      </c>
      <c r="H8" s="433">
        <f t="shared" si="0"/>
        <v>3091</v>
      </c>
      <c r="I8" s="184"/>
      <c r="J8" s="184"/>
      <c r="K8" s="184"/>
      <c r="L8" s="184"/>
      <c r="M8" s="184"/>
      <c r="N8" s="184"/>
    </row>
    <row r="9" spans="1:14" ht="34.5" customHeight="1">
      <c r="A9" s="886" t="s">
        <v>159</v>
      </c>
      <c r="B9" s="887"/>
      <c r="C9" s="435">
        <v>0</v>
      </c>
      <c r="D9" s="435">
        <v>0</v>
      </c>
      <c r="E9" s="435">
        <v>0</v>
      </c>
      <c r="F9" s="435">
        <v>0</v>
      </c>
      <c r="G9" s="435">
        <v>0</v>
      </c>
      <c r="H9" s="433">
        <f t="shared" si="0"/>
        <v>0</v>
      </c>
      <c r="I9" s="184"/>
      <c r="J9" s="184"/>
      <c r="K9" s="184"/>
      <c r="L9" s="184"/>
      <c r="M9" s="184"/>
      <c r="N9" s="184"/>
    </row>
    <row r="10" spans="1:14" ht="34.5" customHeight="1">
      <c r="A10" s="886" t="s">
        <v>160</v>
      </c>
      <c r="B10" s="887"/>
      <c r="C10" s="435">
        <v>0</v>
      </c>
      <c r="D10" s="435">
        <v>0</v>
      </c>
      <c r="E10" s="435">
        <v>0</v>
      </c>
      <c r="F10" s="435">
        <v>0</v>
      </c>
      <c r="G10" s="435">
        <v>0</v>
      </c>
      <c r="H10" s="433">
        <f t="shared" si="0"/>
        <v>0</v>
      </c>
      <c r="I10" s="184"/>
      <c r="J10" s="184"/>
      <c r="K10" s="184"/>
      <c r="L10" s="184"/>
      <c r="M10" s="184"/>
      <c r="N10" s="184"/>
    </row>
    <row r="11" spans="1:14" ht="34.5" customHeight="1">
      <c r="A11" s="886" t="s">
        <v>161</v>
      </c>
      <c r="B11" s="887"/>
      <c r="C11" s="435">
        <v>35315</v>
      </c>
      <c r="D11" s="435">
        <v>182294</v>
      </c>
      <c r="E11" s="435">
        <v>487283</v>
      </c>
      <c r="F11" s="435">
        <v>0</v>
      </c>
      <c r="G11" s="435">
        <v>255</v>
      </c>
      <c r="H11" s="433">
        <f t="shared" si="0"/>
        <v>705147</v>
      </c>
      <c r="I11" s="184"/>
      <c r="J11" s="184"/>
      <c r="K11" s="184"/>
      <c r="L11" s="184"/>
      <c r="M11" s="184"/>
      <c r="N11" s="184"/>
    </row>
    <row r="12" spans="1:14" ht="34.5" customHeight="1">
      <c r="A12" s="886" t="s">
        <v>162</v>
      </c>
      <c r="B12" s="887"/>
      <c r="C12" s="435">
        <v>71800</v>
      </c>
      <c r="D12" s="435">
        <v>18699</v>
      </c>
      <c r="E12" s="435">
        <v>63455</v>
      </c>
      <c r="F12" s="435">
        <v>0</v>
      </c>
      <c r="G12" s="435">
        <v>0</v>
      </c>
      <c r="H12" s="433">
        <f t="shared" si="0"/>
        <v>153954</v>
      </c>
      <c r="I12" s="184"/>
      <c r="J12" s="184"/>
      <c r="K12" s="184"/>
      <c r="L12" s="184"/>
      <c r="M12" s="184"/>
      <c r="N12" s="184"/>
    </row>
    <row r="13" spans="1:14" ht="34.5" customHeight="1">
      <c r="A13" s="886" t="s">
        <v>163</v>
      </c>
      <c r="B13" s="887"/>
      <c r="C13" s="435">
        <v>9965</v>
      </c>
      <c r="D13" s="435">
        <v>806</v>
      </c>
      <c r="E13" s="435">
        <v>321</v>
      </c>
      <c r="F13" s="435">
        <v>0</v>
      </c>
      <c r="G13" s="435">
        <v>0</v>
      </c>
      <c r="H13" s="433">
        <f t="shared" si="0"/>
        <v>11092</v>
      </c>
      <c r="I13" s="184"/>
      <c r="J13" s="184"/>
      <c r="K13" s="184"/>
      <c r="L13" s="184"/>
      <c r="M13" s="184"/>
      <c r="N13" s="184"/>
    </row>
    <row r="14" spans="1:14" ht="34.5" customHeight="1">
      <c r="A14" s="886" t="s">
        <v>164</v>
      </c>
      <c r="B14" s="887"/>
      <c r="C14" s="435">
        <v>30729</v>
      </c>
      <c r="D14" s="435">
        <v>0</v>
      </c>
      <c r="E14" s="435">
        <v>0</v>
      </c>
      <c r="F14" s="435">
        <v>0</v>
      </c>
      <c r="G14" s="435">
        <v>5149</v>
      </c>
      <c r="H14" s="433">
        <f t="shared" si="0"/>
        <v>35878</v>
      </c>
      <c r="I14" s="184"/>
      <c r="J14" s="184"/>
      <c r="K14" s="184"/>
      <c r="L14" s="184"/>
      <c r="M14" s="184"/>
      <c r="N14" s="184"/>
    </row>
    <row r="15" spans="1:14" ht="34.5" customHeight="1">
      <c r="A15" s="886" t="s">
        <v>165</v>
      </c>
      <c r="B15" s="887"/>
      <c r="C15" s="435">
        <v>0</v>
      </c>
      <c r="D15" s="435">
        <v>0</v>
      </c>
      <c r="E15" s="435">
        <v>0</v>
      </c>
      <c r="F15" s="435">
        <v>0</v>
      </c>
      <c r="G15" s="435">
        <v>0</v>
      </c>
      <c r="H15" s="433">
        <f t="shared" si="0"/>
        <v>0</v>
      </c>
      <c r="I15" s="184"/>
      <c r="J15" s="184"/>
      <c r="K15" s="184"/>
      <c r="L15" s="184"/>
      <c r="M15" s="184"/>
      <c r="N15" s="184"/>
    </row>
    <row r="16" spans="1:14" ht="34.5" customHeight="1">
      <c r="A16" s="886" t="s">
        <v>166</v>
      </c>
      <c r="B16" s="887"/>
      <c r="C16" s="435">
        <v>0</v>
      </c>
      <c r="D16" s="435">
        <v>0</v>
      </c>
      <c r="E16" s="435">
        <v>0</v>
      </c>
      <c r="F16" s="435">
        <v>0</v>
      </c>
      <c r="G16" s="435">
        <v>0</v>
      </c>
      <c r="H16" s="433">
        <f t="shared" si="0"/>
        <v>0</v>
      </c>
      <c r="I16" s="184"/>
      <c r="J16" s="184"/>
      <c r="K16" s="184"/>
      <c r="L16" s="184"/>
      <c r="M16" s="184"/>
      <c r="N16" s="184"/>
    </row>
    <row r="17" spans="1:8" ht="34.5" customHeight="1">
      <c r="A17" s="886" t="s">
        <v>167</v>
      </c>
      <c r="B17" s="887"/>
      <c r="C17" s="435">
        <v>12000</v>
      </c>
      <c r="D17" s="435">
        <v>0</v>
      </c>
      <c r="E17" s="435">
        <v>0</v>
      </c>
      <c r="F17" s="435">
        <v>0</v>
      </c>
      <c r="G17" s="435">
        <v>0</v>
      </c>
      <c r="H17" s="433">
        <f t="shared" si="0"/>
        <v>12000</v>
      </c>
    </row>
    <row r="18" spans="1:8" ht="34.5" customHeight="1">
      <c r="A18" s="886" t="s">
        <v>168</v>
      </c>
      <c r="B18" s="887"/>
      <c r="C18" s="449">
        <v>46115</v>
      </c>
      <c r="D18" s="435">
        <v>3283</v>
      </c>
      <c r="E18" s="435">
        <v>306</v>
      </c>
      <c r="F18" s="435">
        <v>0</v>
      </c>
      <c r="G18" s="435">
        <v>0</v>
      </c>
      <c r="H18" s="433">
        <f t="shared" si="0"/>
        <v>49704</v>
      </c>
    </row>
    <row r="19" spans="1:8" ht="34.5" customHeight="1" thickBot="1">
      <c r="A19" s="890" t="s">
        <v>183</v>
      </c>
      <c r="B19" s="891"/>
      <c r="C19" s="434">
        <v>7</v>
      </c>
      <c r="D19" s="434">
        <v>0</v>
      </c>
      <c r="E19" s="434">
        <v>0</v>
      </c>
      <c r="F19" s="434">
        <v>0</v>
      </c>
      <c r="G19" s="434">
        <v>0</v>
      </c>
      <c r="H19" s="433">
        <f t="shared" si="0"/>
        <v>7</v>
      </c>
    </row>
    <row r="20" spans="1:8" s="439" customFormat="1" ht="34.5" customHeight="1" thickBot="1">
      <c r="A20" s="853" t="s">
        <v>170</v>
      </c>
      <c r="B20" s="892"/>
      <c r="C20" s="437">
        <f aca="true" t="shared" si="1" ref="C20:H20">SUM(C6:C19)</f>
        <v>227767</v>
      </c>
      <c r="D20" s="437">
        <f t="shared" si="1"/>
        <v>205082</v>
      </c>
      <c r="E20" s="437">
        <f t="shared" si="1"/>
        <v>551365</v>
      </c>
      <c r="F20" s="437">
        <f t="shared" si="1"/>
        <v>0</v>
      </c>
      <c r="G20" s="437">
        <f t="shared" si="1"/>
        <v>5404</v>
      </c>
      <c r="H20" s="438">
        <f t="shared" si="1"/>
        <v>989618</v>
      </c>
    </row>
    <row r="22" spans="1:11" s="129" customFormat="1" ht="15.75" customHeight="1">
      <c r="A22" s="129" t="s">
        <v>184</v>
      </c>
      <c r="B22" s="127"/>
      <c r="D22" s="129" t="s">
        <v>185</v>
      </c>
      <c r="G22" s="899" t="s">
        <v>148</v>
      </c>
      <c r="H22" s="899"/>
      <c r="K22" s="185"/>
    </row>
    <row r="24" ht="12" customHeight="1"/>
  </sheetData>
  <sheetProtection/>
  <mergeCells count="18">
    <mergeCell ref="A11:B11"/>
    <mergeCell ref="A12:B12"/>
    <mergeCell ref="A10:B10"/>
    <mergeCell ref="A4:H4"/>
    <mergeCell ref="A5:B5"/>
    <mergeCell ref="A8:B8"/>
    <mergeCell ref="A9:B9"/>
    <mergeCell ref="A6:B6"/>
    <mergeCell ref="A7:B7"/>
    <mergeCell ref="A13:B13"/>
    <mergeCell ref="A14:B14"/>
    <mergeCell ref="G22:H22"/>
    <mergeCell ref="A20:B20"/>
    <mergeCell ref="A15:B15"/>
    <mergeCell ref="A16:B16"/>
    <mergeCell ref="A17:B17"/>
    <mergeCell ref="A18:B18"/>
    <mergeCell ref="A19:B19"/>
  </mergeCells>
  <printOptions horizontalCentered="1"/>
  <pageMargins left="0.7874015748031497" right="0.7874015748031497" top="0.984251968503937" bottom="0.984251968503937" header="0.7086614173228347" footer="0.11811023622047245"/>
  <pageSetup blackAndWhite="1" fitToHeight="1" fitToWidth="1" horizontalDpi="600" verticalDpi="600" orientation="landscape" paperSize="9" scale="71" r:id="rId1"/>
  <headerFooter alignWithMargins="0">
    <oddHeader>&amp;L&amp;"Arial CE,Tučné"&amp;12Kapitola: 314 - Ministerstvo vnitra&amp;C
&amp;"Arial CE,Tučné"&amp;14Přehled výdajů programového financování v jednotlivých programech&amp;R&amp;"Arial CE,Tučné"&amp;12Tabulka č.  13/2
&amp;"Arial CE,Obyčejné"&amp;10List. č. 4/4</oddHeader>
    <oddFooter>&amp;C&amp;11&amp;P+132
&amp;12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6">
      <selection activeCell="A33" sqref="A33"/>
    </sheetView>
  </sheetViews>
  <sheetFormatPr defaultColWidth="9.00390625" defaultRowHeight="12.75"/>
  <cols>
    <col min="1" max="1" width="48.875" style="112" customWidth="1"/>
    <col min="2" max="2" width="10.75390625" style="112" customWidth="1"/>
    <col min="3" max="7" width="20.75390625" style="112" customWidth="1"/>
    <col min="8" max="10" width="15.75390625" style="112" customWidth="1"/>
    <col min="11" max="12" width="11.75390625" style="112" customWidth="1"/>
    <col min="13" max="13" width="12.875" style="112" customWidth="1"/>
    <col min="14" max="14" width="10.75390625" style="112" customWidth="1"/>
    <col min="15" max="16384" width="9.125" style="112" customWidth="1"/>
  </cols>
  <sheetData>
    <row r="1" spans="1:13" ht="25.5" customHeight="1">
      <c r="A1" s="900" t="s">
        <v>186</v>
      </c>
      <c r="B1" s="900"/>
      <c r="C1" s="900"/>
      <c r="D1" s="900"/>
      <c r="E1" s="900"/>
      <c r="F1" s="900"/>
      <c r="G1" s="900"/>
      <c r="H1" s="183"/>
      <c r="I1" s="183"/>
      <c r="J1" s="183"/>
      <c r="K1" s="183"/>
      <c r="L1" s="183"/>
      <c r="M1" s="183"/>
    </row>
    <row r="2" ht="16.5" customHeight="1" thickBot="1">
      <c r="G2" s="186" t="s">
        <v>91</v>
      </c>
    </row>
    <row r="3" spans="1:13" s="43" customFormat="1" ht="17.25" customHeight="1" thickBot="1">
      <c r="A3" s="857" t="s">
        <v>149</v>
      </c>
      <c r="B3" s="858"/>
      <c r="C3" s="858"/>
      <c r="D3" s="858"/>
      <c r="E3" s="858"/>
      <c r="F3" s="858"/>
      <c r="G3" s="854"/>
      <c r="H3" s="178"/>
      <c r="I3" s="178"/>
      <c r="J3" s="178"/>
      <c r="K3" s="178"/>
      <c r="L3" s="178"/>
      <c r="M3" s="178"/>
    </row>
    <row r="4" spans="1:7" s="188" customFormat="1" ht="39" thickBot="1">
      <c r="A4" s="450" t="s">
        <v>187</v>
      </c>
      <c r="B4" s="430" t="s">
        <v>188</v>
      </c>
      <c r="C4" s="430" t="s">
        <v>151</v>
      </c>
      <c r="D4" s="430" t="s">
        <v>152</v>
      </c>
      <c r="E4" s="430" t="s">
        <v>153</v>
      </c>
      <c r="F4" s="430" t="s">
        <v>173</v>
      </c>
      <c r="G4" s="431" t="s">
        <v>155</v>
      </c>
    </row>
    <row r="5" spans="1:7" s="188" customFormat="1" ht="19.5" customHeight="1">
      <c r="A5" s="902" t="s">
        <v>189</v>
      </c>
      <c r="B5" s="451">
        <v>114070</v>
      </c>
      <c r="C5" s="452">
        <v>38947</v>
      </c>
      <c r="D5" s="452">
        <v>0</v>
      </c>
      <c r="E5" s="452">
        <v>0</v>
      </c>
      <c r="F5" s="452">
        <v>0</v>
      </c>
      <c r="G5" s="453">
        <f>SUM(C5:F5)</f>
        <v>38947</v>
      </c>
    </row>
    <row r="6" spans="1:7" s="188" customFormat="1" ht="19.5" customHeight="1">
      <c r="A6" s="902"/>
      <c r="B6" s="454">
        <v>114110</v>
      </c>
      <c r="C6" s="455">
        <v>522266</v>
      </c>
      <c r="D6" s="455">
        <v>20274</v>
      </c>
      <c r="E6" s="455">
        <v>40560</v>
      </c>
      <c r="F6" s="455">
        <v>0</v>
      </c>
      <c r="G6" s="453">
        <f>SUM(C6:F6)</f>
        <v>583100</v>
      </c>
    </row>
    <row r="7" spans="1:7" s="188" customFormat="1" ht="19.5" customHeight="1">
      <c r="A7" s="902"/>
      <c r="B7" s="454">
        <v>214110</v>
      </c>
      <c r="C7" s="455">
        <v>95370</v>
      </c>
      <c r="D7" s="455">
        <v>0</v>
      </c>
      <c r="E7" s="455">
        <v>0</v>
      </c>
      <c r="F7" s="455">
        <v>0</v>
      </c>
      <c r="G7" s="453">
        <f>SUM(C7:F7)</f>
        <v>95370</v>
      </c>
    </row>
    <row r="8" spans="1:7" s="188" customFormat="1" ht="19.5" customHeight="1">
      <c r="A8" s="903"/>
      <c r="B8" s="456" t="s">
        <v>155</v>
      </c>
      <c r="C8" s="457">
        <f>SUM(C5:C7)</f>
        <v>656583</v>
      </c>
      <c r="D8" s="457">
        <f>SUM(D5:D7)</f>
        <v>20274</v>
      </c>
      <c r="E8" s="457">
        <f>SUM(E5:E7)</f>
        <v>40560</v>
      </c>
      <c r="F8" s="457">
        <f>SUM(F5:F7)</f>
        <v>0</v>
      </c>
      <c r="G8" s="458">
        <f>SUM(G5:G7)</f>
        <v>717417</v>
      </c>
    </row>
    <row r="9" spans="1:7" s="188" customFormat="1" ht="19.5" customHeight="1">
      <c r="A9" s="901" t="s">
        <v>190</v>
      </c>
      <c r="B9" s="454">
        <v>114070</v>
      </c>
      <c r="C9" s="455">
        <v>54068</v>
      </c>
      <c r="D9" s="455">
        <v>0</v>
      </c>
      <c r="E9" s="455">
        <v>0</v>
      </c>
      <c r="F9" s="455">
        <v>0</v>
      </c>
      <c r="G9" s="460">
        <f>SUM(C9:F9)</f>
        <v>54068</v>
      </c>
    </row>
    <row r="10" spans="1:7" s="188" customFormat="1" ht="19.5" customHeight="1">
      <c r="A10" s="902"/>
      <c r="B10" s="454">
        <v>114210</v>
      </c>
      <c r="C10" s="455">
        <v>64000</v>
      </c>
      <c r="D10" s="455">
        <v>198</v>
      </c>
      <c r="E10" s="455">
        <v>1676</v>
      </c>
      <c r="F10" s="455">
        <v>0</v>
      </c>
      <c r="G10" s="460">
        <f>SUM(C10:F10)</f>
        <v>65874</v>
      </c>
    </row>
    <row r="11" spans="1:7" s="188" customFormat="1" ht="19.5" customHeight="1">
      <c r="A11" s="902"/>
      <c r="B11" s="454">
        <v>114240</v>
      </c>
      <c r="C11" s="455">
        <v>95816</v>
      </c>
      <c r="D11" s="455">
        <v>918</v>
      </c>
      <c r="E11" s="455">
        <v>7799</v>
      </c>
      <c r="F11" s="455">
        <v>0</v>
      </c>
      <c r="G11" s="460">
        <f>SUM(C11:F11)</f>
        <v>104533</v>
      </c>
    </row>
    <row r="12" spans="1:7" s="188" customFormat="1" ht="19.5" customHeight="1">
      <c r="A12" s="903"/>
      <c r="B12" s="456" t="s">
        <v>155</v>
      </c>
      <c r="C12" s="457">
        <f>SUM(C9:C11)</f>
        <v>213884</v>
      </c>
      <c r="D12" s="457">
        <f>SUM(D9:D11)</f>
        <v>1116</v>
      </c>
      <c r="E12" s="457">
        <f>SUM(E9:E11)</f>
        <v>9475</v>
      </c>
      <c r="F12" s="457">
        <f>SUM(F9:F11)</f>
        <v>0</v>
      </c>
      <c r="G12" s="458">
        <f>SUM(G9:G11)</f>
        <v>224475</v>
      </c>
    </row>
    <row r="13" spans="1:7" s="188" customFormat="1" ht="19.5" customHeight="1">
      <c r="A13" s="902" t="s">
        <v>455</v>
      </c>
      <c r="B13" s="1028" t="s">
        <v>454</v>
      </c>
      <c r="C13" s="455">
        <v>0</v>
      </c>
      <c r="D13" s="455">
        <v>0</v>
      </c>
      <c r="E13" s="455">
        <v>0</v>
      </c>
      <c r="F13" s="455">
        <v>0</v>
      </c>
      <c r="G13" s="460">
        <f aca="true" t="shared" si="0" ref="G13:G20">SUM(C13:F13)</f>
        <v>0</v>
      </c>
    </row>
    <row r="14" spans="1:7" s="188" customFormat="1" ht="19.5" customHeight="1">
      <c r="A14" s="906"/>
      <c r="B14" s="454">
        <v>114050</v>
      </c>
      <c r="C14" s="455">
        <v>25000</v>
      </c>
      <c r="D14" s="455">
        <v>0</v>
      </c>
      <c r="E14" s="455">
        <v>0</v>
      </c>
      <c r="F14" s="455">
        <v>0</v>
      </c>
      <c r="G14" s="460">
        <f t="shared" si="0"/>
        <v>25000</v>
      </c>
    </row>
    <row r="15" spans="1:7" s="188" customFormat="1" ht="19.5" customHeight="1">
      <c r="A15" s="906"/>
      <c r="B15" s="454">
        <v>114060</v>
      </c>
      <c r="C15" s="455">
        <v>0</v>
      </c>
      <c r="D15" s="455">
        <v>0</v>
      </c>
      <c r="E15" s="455">
        <v>0</v>
      </c>
      <c r="F15" s="455">
        <v>0</v>
      </c>
      <c r="G15" s="460">
        <f t="shared" si="0"/>
        <v>0</v>
      </c>
    </row>
    <row r="16" spans="1:7" s="188" customFormat="1" ht="19.5" customHeight="1">
      <c r="A16" s="906"/>
      <c r="B16" s="454">
        <v>114070</v>
      </c>
      <c r="C16" s="455">
        <v>50000</v>
      </c>
      <c r="D16" s="455">
        <v>0</v>
      </c>
      <c r="E16" s="455">
        <v>0</v>
      </c>
      <c r="F16" s="455">
        <v>0</v>
      </c>
      <c r="G16" s="460">
        <f t="shared" si="0"/>
        <v>50000</v>
      </c>
    </row>
    <row r="17" spans="1:7" s="188" customFormat="1" ht="19.5" customHeight="1">
      <c r="A17" s="906"/>
      <c r="B17" s="454">
        <v>114110</v>
      </c>
      <c r="C17" s="455">
        <v>0</v>
      </c>
      <c r="D17" s="455">
        <v>0</v>
      </c>
      <c r="E17" s="455">
        <v>0</v>
      </c>
      <c r="F17" s="455">
        <v>0</v>
      </c>
      <c r="G17" s="460">
        <f t="shared" si="0"/>
        <v>0</v>
      </c>
    </row>
    <row r="18" spans="1:7" s="188" customFormat="1" ht="19.5" customHeight="1">
      <c r="A18" s="906"/>
      <c r="B18" s="454">
        <v>114410</v>
      </c>
      <c r="C18" s="455">
        <v>0</v>
      </c>
      <c r="D18" s="455">
        <v>0</v>
      </c>
      <c r="E18" s="455">
        <v>0</v>
      </c>
      <c r="F18" s="455">
        <v>0</v>
      </c>
      <c r="G18" s="460">
        <f t="shared" si="0"/>
        <v>0</v>
      </c>
    </row>
    <row r="19" spans="1:7" s="188" customFormat="1" ht="19.5" customHeight="1">
      <c r="A19" s="906"/>
      <c r="B19" s="454">
        <v>214110</v>
      </c>
      <c r="C19" s="455">
        <v>88437</v>
      </c>
      <c r="D19" s="455">
        <v>0</v>
      </c>
      <c r="E19" s="455">
        <v>0</v>
      </c>
      <c r="F19" s="455">
        <v>0</v>
      </c>
      <c r="G19" s="460">
        <f t="shared" si="0"/>
        <v>88437</v>
      </c>
    </row>
    <row r="20" spans="1:7" s="188" customFormat="1" ht="19.5" customHeight="1">
      <c r="A20" s="906"/>
      <c r="B20" s="454">
        <v>214910</v>
      </c>
      <c r="C20" s="455">
        <v>159</v>
      </c>
      <c r="D20" s="455">
        <v>0</v>
      </c>
      <c r="E20" s="455">
        <v>0</v>
      </c>
      <c r="F20" s="455">
        <v>0</v>
      </c>
      <c r="G20" s="460">
        <f t="shared" si="0"/>
        <v>159</v>
      </c>
    </row>
    <row r="21" spans="1:7" s="188" customFormat="1" ht="19.5" customHeight="1">
      <c r="A21" s="907"/>
      <c r="B21" s="456" t="s">
        <v>155</v>
      </c>
      <c r="C21" s="457">
        <f>SUM(C13:C20)</f>
        <v>163596</v>
      </c>
      <c r="D21" s="457">
        <f>SUM(D13:D20)</f>
        <v>0</v>
      </c>
      <c r="E21" s="457">
        <f>SUM(E13:E20)</f>
        <v>0</v>
      </c>
      <c r="F21" s="457">
        <f>SUM(F13:F20)</f>
        <v>0</v>
      </c>
      <c r="G21" s="458">
        <f>SUM(G13:G20)</f>
        <v>163596</v>
      </c>
    </row>
    <row r="22" spans="1:7" s="188" customFormat="1" ht="19.5" customHeight="1">
      <c r="A22" s="901" t="s">
        <v>191</v>
      </c>
      <c r="B22" s="454">
        <v>114020</v>
      </c>
      <c r="C22" s="455">
        <v>12900</v>
      </c>
      <c r="D22" s="455">
        <v>0</v>
      </c>
      <c r="E22" s="455">
        <v>0</v>
      </c>
      <c r="F22" s="455">
        <v>0</v>
      </c>
      <c r="G22" s="460">
        <f>SUM(C22:F22)</f>
        <v>12900</v>
      </c>
    </row>
    <row r="23" spans="1:7" s="188" customFormat="1" ht="19.5" customHeight="1">
      <c r="A23" s="906"/>
      <c r="B23" s="454">
        <v>114030</v>
      </c>
      <c r="C23" s="455">
        <v>14800</v>
      </c>
      <c r="D23" s="455">
        <v>0</v>
      </c>
      <c r="E23" s="455">
        <v>0</v>
      </c>
      <c r="F23" s="455">
        <v>0</v>
      </c>
      <c r="G23" s="460">
        <f>SUM(C23:F23)</f>
        <v>14800</v>
      </c>
    </row>
    <row r="24" spans="1:7" s="188" customFormat="1" ht="19.5" customHeight="1">
      <c r="A24" s="906"/>
      <c r="B24" s="454">
        <v>114040</v>
      </c>
      <c r="C24" s="455">
        <v>3370</v>
      </c>
      <c r="D24" s="455">
        <v>0</v>
      </c>
      <c r="E24" s="455">
        <v>0</v>
      </c>
      <c r="F24" s="455">
        <v>0</v>
      </c>
      <c r="G24" s="460">
        <f>SUM(C24:F24)</f>
        <v>3370</v>
      </c>
    </row>
    <row r="25" spans="1:7" s="188" customFormat="1" ht="19.5" customHeight="1">
      <c r="A25" s="906"/>
      <c r="B25" s="454">
        <v>214020</v>
      </c>
      <c r="C25" s="455">
        <v>0</v>
      </c>
      <c r="D25" s="455">
        <v>0</v>
      </c>
      <c r="E25" s="455">
        <v>0</v>
      </c>
      <c r="F25" s="455">
        <v>0</v>
      </c>
      <c r="G25" s="460">
        <f>SUM(C25:F25)</f>
        <v>0</v>
      </c>
    </row>
    <row r="26" spans="1:7" s="188" customFormat="1" ht="19.5" customHeight="1">
      <c r="A26" s="906"/>
      <c r="B26" s="454">
        <v>214030</v>
      </c>
      <c r="C26" s="455">
        <v>12000</v>
      </c>
      <c r="D26" s="455">
        <v>0</v>
      </c>
      <c r="E26" s="455">
        <v>0</v>
      </c>
      <c r="F26" s="455">
        <v>0</v>
      </c>
      <c r="G26" s="460">
        <f>SUM(C26:F26)</f>
        <v>12000</v>
      </c>
    </row>
    <row r="27" spans="1:7" s="188" customFormat="1" ht="19.5" customHeight="1">
      <c r="A27" s="907"/>
      <c r="B27" s="456" t="s">
        <v>155</v>
      </c>
      <c r="C27" s="457">
        <f>SUM(C22:C26)</f>
        <v>43070</v>
      </c>
      <c r="D27" s="457">
        <f>SUM(D22:D26)</f>
        <v>0</v>
      </c>
      <c r="E27" s="457">
        <f>SUM(E22:E26)</f>
        <v>0</v>
      </c>
      <c r="F27" s="457">
        <f>SUM(F22:F26)</f>
        <v>0</v>
      </c>
      <c r="G27" s="458">
        <f>SUM(G22:G26)</f>
        <v>43070</v>
      </c>
    </row>
    <row r="28" spans="1:7" s="188" customFormat="1" ht="19.5" customHeight="1">
      <c r="A28" s="901" t="s">
        <v>192</v>
      </c>
      <c r="B28" s="454">
        <v>114070</v>
      </c>
      <c r="C28" s="455">
        <v>0</v>
      </c>
      <c r="D28" s="455">
        <v>191053</v>
      </c>
      <c r="E28" s="455">
        <v>8289</v>
      </c>
      <c r="F28" s="455">
        <v>0</v>
      </c>
      <c r="G28" s="460">
        <f>SUM(C28:F28)</f>
        <v>199342</v>
      </c>
    </row>
    <row r="29" spans="1:7" s="188" customFormat="1" ht="19.5" customHeight="1">
      <c r="A29" s="902"/>
      <c r="B29" s="454">
        <v>214110</v>
      </c>
      <c r="C29" s="455">
        <v>0</v>
      </c>
      <c r="D29" s="455">
        <v>232</v>
      </c>
      <c r="E29" s="455">
        <v>272</v>
      </c>
      <c r="F29" s="455">
        <v>0</v>
      </c>
      <c r="G29" s="460">
        <f>SUM(C29:F29)</f>
        <v>504</v>
      </c>
    </row>
    <row r="30" spans="1:7" s="188" customFormat="1" ht="19.5" customHeight="1">
      <c r="A30" s="903"/>
      <c r="B30" s="456" t="s">
        <v>155</v>
      </c>
      <c r="C30" s="457">
        <f>SUM(C28:C29)</f>
        <v>0</v>
      </c>
      <c r="D30" s="457">
        <f>SUM(D28:D29)</f>
        <v>191285</v>
      </c>
      <c r="E30" s="457">
        <f>SUM(E28:E29)</f>
        <v>8561</v>
      </c>
      <c r="F30" s="457">
        <f>SUM(F28:F29)</f>
        <v>0</v>
      </c>
      <c r="G30" s="458">
        <f>SUM(G28:G29)</f>
        <v>199846</v>
      </c>
    </row>
    <row r="31" spans="1:7" s="188" customFormat="1" ht="19.5" customHeight="1" thickBot="1">
      <c r="A31" s="459" t="s">
        <v>193</v>
      </c>
      <c r="B31" s="461">
        <v>114020</v>
      </c>
      <c r="C31" s="462">
        <v>0</v>
      </c>
      <c r="D31" s="462">
        <v>0</v>
      </c>
      <c r="E31" s="462">
        <v>0</v>
      </c>
      <c r="F31" s="462">
        <v>0</v>
      </c>
      <c r="G31" s="463">
        <v>0</v>
      </c>
    </row>
    <row r="32" spans="1:7" s="439" customFormat="1" ht="26.25" customHeight="1" thickBot="1">
      <c r="A32" s="904" t="s">
        <v>155</v>
      </c>
      <c r="B32" s="905"/>
      <c r="C32" s="437">
        <f>C8+C12+C21+C27+C30+C31</f>
        <v>1077133</v>
      </c>
      <c r="D32" s="437">
        <f>D8+D12+D21+D27+D30+D31</f>
        <v>212675</v>
      </c>
      <c r="E32" s="437">
        <f>E8+E12+E21+E27+E30+E31</f>
        <v>58596</v>
      </c>
      <c r="F32" s="437">
        <f>F8+F12+F21+F27+F30+F31</f>
        <v>0</v>
      </c>
      <c r="G32" s="438">
        <f>G8+G12+G21+G27+G30+G31</f>
        <v>1348404</v>
      </c>
    </row>
    <row r="33" spans="1:4" ht="12">
      <c r="A33" s="113" t="s">
        <v>457</v>
      </c>
      <c r="D33" s="187"/>
    </row>
  </sheetData>
  <sheetProtection/>
  <mergeCells count="8">
    <mergeCell ref="A1:G1"/>
    <mergeCell ref="A28:A30"/>
    <mergeCell ref="A32:B32"/>
    <mergeCell ref="A3:G3"/>
    <mergeCell ref="A5:A8"/>
    <mergeCell ref="A9:A12"/>
    <mergeCell ref="A13:A21"/>
    <mergeCell ref="A22:A27"/>
  </mergeCells>
  <printOptions horizontalCentered="1"/>
  <pageMargins left="0.7874015748031497" right="0.7874015748031497" top="0.984251968503937" bottom="0.984251968503937" header="0.7086614173228347" footer="0.11811023622047245"/>
  <pageSetup blackAndWhite="1" horizontalDpi="600" verticalDpi="600" orientation="landscape" paperSize="9" scale="68" r:id="rId1"/>
  <headerFooter alignWithMargins="0">
    <oddHeader>&amp;L&amp;"Arial CE,Tučné"&amp;12Kapitola: 314 - Ministerstvo vnitra&amp;R&amp;"Arial CE,Tučné"&amp;12Tabulky č. 13/3&amp;"Arial CE,Obyčejné"&amp;10
List č. 1/4</oddHeader>
    <oddFooter>&amp;C&amp;12
&amp;P+133
&amp;10
&amp;11
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Landsingerova</cp:lastModifiedBy>
  <cp:lastPrinted>2013-03-13T06:27:20Z</cp:lastPrinted>
  <dcterms:created xsi:type="dcterms:W3CDTF">2005-01-31T11:59:30Z</dcterms:created>
  <dcterms:modified xsi:type="dcterms:W3CDTF">2013-03-13T07:36:53Z</dcterms:modified>
  <cp:category/>
  <cp:version/>
  <cp:contentType/>
  <cp:contentStatus/>
</cp:coreProperties>
</file>